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0730" windowHeight="9030"/>
  </bookViews>
  <sheets>
    <sheet name="Balance General " sheetId="62" r:id="rId1"/>
    <sheet name="Estado Resultados " sheetId="63" r:id="rId2"/>
    <sheet name="1.RESUMEN DE SALDOS" sheetId="53" r:id="rId3"/>
    <sheet name="2. COBROS" sheetId="9" r:id="rId4"/>
    <sheet name="3. FACTURADO VS RECAUDADO" sheetId="54" r:id="rId5"/>
    <sheet name="Presupuesto Vs Gasto" sheetId="64" r:id="rId6"/>
    <sheet name="5.DETALLE GASTOS" sheetId="45" r:id="rId7"/>
    <sheet name="InformeCondomino" sheetId="24" r:id="rId8"/>
    <sheet name="Hoja2" sheetId="2" state="hidden" r:id="rId9"/>
    <sheet name="Hoja3" sheetId="3" state="hidden" r:id="rId10"/>
    <sheet name="ConcBAC¢" sheetId="60" r:id="rId11"/>
    <sheet name="ConcBAC$" sheetId="61" r:id="rId12"/>
  </sheets>
  <definedNames>
    <definedName name="A_impresión_IM" localSheetId="5">#REF!</definedName>
    <definedName name="A_impresión_IM">#REF!</definedName>
    <definedName name="_xlnm.Print_Area" localSheetId="3">'2. COBROS'!$A$1:$F$95</definedName>
    <definedName name="_xlnm.Print_Area" localSheetId="6">'5.DETALLE GASTOS'!$A$1:$E$227</definedName>
    <definedName name="_xlnm.Print_Area" localSheetId="0">'Balance General '!$A$1:$J$40</definedName>
    <definedName name="_xlnm.Print_Area" localSheetId="11">'ConcBAC$'!$B$1:$I$53</definedName>
    <definedName name="_xlnm.Print_Area" localSheetId="10">'ConcBAC¢'!$B$1:$I$86</definedName>
    <definedName name="_xlnm.Print_Area" localSheetId="1">'Estado Resultados '!$B$1:$K$61</definedName>
    <definedName name="_xlnm.Print_Area" localSheetId="7">InformeCondomino!$B$3:$J$148</definedName>
    <definedName name="_xlnm.Print_Area" localSheetId="5">'Presupuesto Vs Gasto'!$B$1:$H$45</definedName>
    <definedName name="_xlnm.Print_Titles" localSheetId="3">'2. COBROS'!$A:$A,'2. COBROS'!$3:$3</definedName>
    <definedName name="_xlnm.Print_Titles" localSheetId="6">'5.DETALLE GASTOS'!$1:$1</definedName>
    <definedName name="_xlnm.Print_Titles" localSheetId="0">'Balance General '!$A:$E,'Balance General '!$1:$1</definedName>
    <definedName name="_xlnm.Print_Titles" localSheetId="11">'ConcBAC$'!$A:$A,'ConcBAC$'!$1:$1</definedName>
    <definedName name="_xlnm.Print_Titles" localSheetId="10">'ConcBAC¢'!$A:$A,'ConcBAC¢'!$1:$1</definedName>
    <definedName name="_xlnm.Print_Titles" localSheetId="1">'Estado Resultados '!$A:$E,'Estado Resultados '!$1:$1</definedName>
    <definedName name="_xlnm.Print_Titles" localSheetId="7">InformeCondomino!$2:$6</definedName>
    <definedName name="_xlnm.Print_Titles" localSheetId="5">'Presupuesto Vs Gasto'!$A:$E,'Presupuesto Vs Gasto'!$1:$1</definedName>
  </definedNames>
  <calcPr calcId="145621"/>
</workbook>
</file>

<file path=xl/calcChain.xml><?xml version="1.0" encoding="utf-8"?>
<calcChain xmlns="http://schemas.openxmlformats.org/spreadsheetml/2006/main">
  <c r="E223" i="45" l="1"/>
  <c r="E219" i="45"/>
  <c r="E201" i="45"/>
  <c r="E224" i="45" s="1"/>
  <c r="E225" i="45" s="1"/>
  <c r="E226" i="45" s="1"/>
  <c r="E182" i="45"/>
  <c r="E175" i="45"/>
  <c r="E169" i="45"/>
  <c r="E165" i="45"/>
  <c r="E161" i="45"/>
  <c r="E151" i="45"/>
  <c r="E148" i="45"/>
  <c r="E142" i="45"/>
  <c r="E183" i="45" s="1"/>
  <c r="E118" i="45"/>
  <c r="E114" i="45"/>
  <c r="E107" i="45"/>
  <c r="E100" i="45"/>
  <c r="E92" i="45"/>
  <c r="E84" i="45"/>
  <c r="E67" i="45"/>
  <c r="E60" i="45"/>
  <c r="E43" i="45"/>
  <c r="E36" i="45"/>
  <c r="E28" i="45"/>
  <c r="E16" i="45"/>
  <c r="F42" i="64"/>
  <c r="B3" i="54"/>
  <c r="B5" i="53"/>
  <c r="B4" i="53"/>
  <c r="B3" i="53"/>
  <c r="G14" i="62"/>
  <c r="J36" i="62"/>
  <c r="J31" i="62"/>
  <c r="J30" i="62"/>
  <c r="J14" i="62"/>
  <c r="J6" i="63"/>
  <c r="J17" i="63"/>
  <c r="F76" i="9"/>
  <c r="E76" i="9"/>
  <c r="E95" i="9" s="1"/>
  <c r="D76" i="9"/>
  <c r="D95" i="9" s="1"/>
  <c r="C76" i="9"/>
  <c r="B76" i="9"/>
  <c r="E56" i="9"/>
  <c r="D56" i="9"/>
  <c r="C56" i="9"/>
  <c r="B56" i="9"/>
  <c r="F5" i="9"/>
  <c r="F6" i="9"/>
  <c r="F7" i="9"/>
  <c r="F8" i="9"/>
  <c r="F30" i="9" s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4" i="9"/>
  <c r="E30" i="9"/>
  <c r="D30" i="9"/>
  <c r="C30" i="9"/>
  <c r="C64" i="9" s="1"/>
  <c r="B30" i="9"/>
  <c r="B95" i="9"/>
  <c r="D64" i="9"/>
  <c r="E64" i="9"/>
  <c r="B64" i="9"/>
  <c r="F93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69" i="9"/>
  <c r="F70" i="9"/>
  <c r="F71" i="9"/>
  <c r="F72" i="9"/>
  <c r="F73" i="9"/>
  <c r="F74" i="9"/>
  <c r="F75" i="9"/>
  <c r="F68" i="9"/>
  <c r="F78" i="9"/>
  <c r="F79" i="9"/>
  <c r="F80" i="9"/>
  <c r="F81" i="9"/>
  <c r="F82" i="9"/>
  <c r="F83" i="9"/>
  <c r="F84" i="9"/>
  <c r="F85" i="9"/>
  <c r="F86" i="9"/>
  <c r="F87" i="9"/>
  <c r="F88" i="9"/>
  <c r="F89" i="9"/>
  <c r="B29" i="9"/>
  <c r="B27" i="9"/>
  <c r="B25" i="9"/>
  <c r="B24" i="9"/>
  <c r="B23" i="9"/>
  <c r="B19" i="9"/>
  <c r="B18" i="9"/>
  <c r="B16" i="9"/>
  <c r="B14" i="9"/>
  <c r="E115" i="45" l="1"/>
  <c r="E85" i="45"/>
  <c r="C95" i="9"/>
  <c r="F64" i="9"/>
  <c r="I129" i="24"/>
  <c r="I67" i="24"/>
  <c r="I6" i="61"/>
  <c r="I7" i="61" s="1"/>
  <c r="I8" i="61" s="1"/>
  <c r="I9" i="61" s="1"/>
  <c r="I10" i="61" s="1"/>
  <c r="I11" i="61" s="1"/>
  <c r="I12" i="61" s="1"/>
  <c r="I13" i="61" s="1"/>
  <c r="I14" i="61" s="1"/>
  <c r="I15" i="61" s="1"/>
  <c r="I16" i="61" s="1"/>
  <c r="I17" i="61" s="1"/>
  <c r="I18" i="61" s="1"/>
  <c r="I19" i="61" s="1"/>
  <c r="I20" i="61" s="1"/>
  <c r="I21" i="61" s="1"/>
  <c r="I22" i="61" s="1"/>
  <c r="I23" i="61" s="1"/>
  <c r="I24" i="61" s="1"/>
  <c r="I25" i="61" s="1"/>
  <c r="I26" i="61" s="1"/>
  <c r="I27" i="61" s="1"/>
  <c r="I28" i="61" s="1"/>
  <c r="I29" i="61" s="1"/>
  <c r="I30" i="61" s="1"/>
  <c r="I31" i="61" s="1"/>
  <c r="I32" i="61" s="1"/>
  <c r="I33" i="61" s="1"/>
  <c r="I34" i="61" s="1"/>
  <c r="I35" i="61" s="1"/>
  <c r="I36" i="61" s="1"/>
  <c r="I37" i="61" s="1"/>
  <c r="I38" i="61" s="1"/>
  <c r="I39" i="61" s="1"/>
  <c r="I40" i="61" s="1"/>
  <c r="I41" i="61" s="1"/>
  <c r="I5" i="61"/>
  <c r="I78" i="60"/>
  <c r="I5" i="60"/>
  <c r="I6" i="60" s="1"/>
  <c r="I7" i="60" s="1"/>
  <c r="I8" i="60" s="1"/>
  <c r="I9" i="60" s="1"/>
  <c r="I10" i="60" s="1"/>
  <c r="I11" i="60" s="1"/>
  <c r="I12" i="60" s="1"/>
  <c r="I13" i="60" s="1"/>
  <c r="I14" i="60" s="1"/>
  <c r="I15" i="60" s="1"/>
  <c r="I16" i="60" s="1"/>
  <c r="I17" i="60" s="1"/>
  <c r="I18" i="60" s="1"/>
  <c r="I19" i="60" s="1"/>
  <c r="I20" i="60" s="1"/>
  <c r="I21" i="60" s="1"/>
  <c r="I22" i="60" s="1"/>
  <c r="I23" i="60" s="1"/>
  <c r="I24" i="60" s="1"/>
  <c r="I25" i="60" s="1"/>
  <c r="I26" i="60" s="1"/>
  <c r="I27" i="60" s="1"/>
  <c r="I28" i="60" s="1"/>
  <c r="I29" i="60" s="1"/>
  <c r="I30" i="60" s="1"/>
  <c r="I31" i="60" s="1"/>
  <c r="I32" i="60" s="1"/>
  <c r="I33" i="60" s="1"/>
  <c r="I34" i="60" s="1"/>
  <c r="I35" i="60" s="1"/>
  <c r="I36" i="60" s="1"/>
  <c r="I37" i="60" s="1"/>
  <c r="I38" i="60" s="1"/>
  <c r="I39" i="60" s="1"/>
  <c r="I40" i="60" s="1"/>
  <c r="I41" i="60" s="1"/>
  <c r="I42" i="60" s="1"/>
  <c r="I43" i="60" s="1"/>
  <c r="I44" i="60" s="1"/>
  <c r="I45" i="60" s="1"/>
  <c r="I46" i="60" s="1"/>
  <c r="I47" i="60" s="1"/>
  <c r="I48" i="60" s="1"/>
  <c r="I49" i="60" s="1"/>
  <c r="I50" i="60" s="1"/>
  <c r="I51" i="60" s="1"/>
  <c r="I52" i="60" s="1"/>
  <c r="I53" i="60" s="1"/>
  <c r="I54" i="60" s="1"/>
  <c r="I55" i="60" s="1"/>
  <c r="I56" i="60" s="1"/>
  <c r="I57" i="60" s="1"/>
  <c r="I58" i="60" s="1"/>
  <c r="I59" i="60" s="1"/>
  <c r="I60" i="60" s="1"/>
  <c r="I61" i="60" s="1"/>
  <c r="I62" i="60" s="1"/>
  <c r="I63" i="60" s="1"/>
  <c r="I64" i="60" s="1"/>
  <c r="I65" i="60" s="1"/>
  <c r="I66" i="60" s="1"/>
  <c r="I67" i="60" s="1"/>
  <c r="I68" i="60" s="1"/>
  <c r="I69" i="60" s="1"/>
  <c r="I70" i="60" s="1"/>
  <c r="I71" i="60" s="1"/>
  <c r="I72" i="60" s="1"/>
  <c r="I73" i="60" s="1"/>
  <c r="I74" i="60" s="1"/>
  <c r="I75" i="60" s="1"/>
  <c r="I76" i="60" s="1"/>
  <c r="I77" i="60" s="1"/>
  <c r="E119" i="45" l="1"/>
  <c r="E187" i="45" s="1"/>
  <c r="E188" i="45" s="1"/>
  <c r="E227" i="45" s="1"/>
  <c r="B6" i="53"/>
  <c r="K56" i="63"/>
  <c r="K55" i="63"/>
  <c r="K54" i="63"/>
  <c r="K50" i="63"/>
  <c r="K48" i="63"/>
  <c r="K49" i="63"/>
  <c r="K47" i="63"/>
  <c r="K45" i="63"/>
  <c r="K41" i="63"/>
  <c r="K30" i="63"/>
  <c r="K31" i="63"/>
  <c r="K32" i="63"/>
  <c r="K33" i="63"/>
  <c r="K34" i="63"/>
  <c r="K35" i="63"/>
  <c r="K36" i="63"/>
  <c r="K37" i="63"/>
  <c r="K38" i="63"/>
  <c r="K27" i="63"/>
  <c r="K26" i="63"/>
  <c r="K24" i="63"/>
  <c r="K23" i="63"/>
  <c r="K22" i="63"/>
  <c r="K21" i="63"/>
  <c r="K20" i="63"/>
  <c r="K18" i="63"/>
  <c r="K16" i="63"/>
  <c r="K15" i="63"/>
  <c r="K14" i="63"/>
  <c r="K13" i="63"/>
  <c r="K11" i="63"/>
  <c r="K10" i="63"/>
  <c r="K9" i="63"/>
  <c r="K4" i="63"/>
  <c r="K5" i="63"/>
  <c r="K3" i="63"/>
  <c r="J57" i="63"/>
  <c r="J51" i="63"/>
  <c r="J39" i="63"/>
  <c r="J25" i="63"/>
  <c r="J28" i="63" s="1"/>
  <c r="J7" i="62"/>
  <c r="J27" i="62"/>
  <c r="J21" i="62"/>
  <c r="J16" i="62"/>
  <c r="J11" i="62"/>
  <c r="J12" i="62" s="1"/>
  <c r="K57" i="63" l="1"/>
  <c r="K51" i="63"/>
  <c r="J40" i="63"/>
  <c r="K6" i="63"/>
  <c r="K25" i="63"/>
  <c r="J32" i="62"/>
  <c r="J33" i="62" s="1"/>
  <c r="J42" i="63"/>
  <c r="J58" i="63" s="1"/>
  <c r="J22" i="62"/>
  <c r="I25" i="63"/>
  <c r="H48" i="61" l="1"/>
  <c r="I57" i="63"/>
  <c r="I51" i="63"/>
  <c r="I39" i="63"/>
  <c r="I17" i="63"/>
  <c r="I28" i="63" s="1"/>
  <c r="I6" i="63"/>
  <c r="I27" i="62"/>
  <c r="I21" i="62"/>
  <c r="I7" i="62"/>
  <c r="I11" i="62" l="1"/>
  <c r="I12" i="62" s="1"/>
  <c r="I40" i="63"/>
  <c r="I42" i="63" s="1"/>
  <c r="I58" i="63" s="1"/>
  <c r="I36" i="62" s="1"/>
  <c r="H39" i="64"/>
  <c r="H19" i="64"/>
  <c r="H20" i="64"/>
  <c r="H21" i="64"/>
  <c r="H22" i="64"/>
  <c r="H23" i="64"/>
  <c r="H24" i="64"/>
  <c r="H16" i="64"/>
  <c r="H15" i="64"/>
  <c r="H14" i="64"/>
  <c r="H13" i="64"/>
  <c r="H12" i="64"/>
  <c r="H11" i="64"/>
  <c r="H10" i="64"/>
  <c r="H9" i="64"/>
  <c r="H5" i="64"/>
  <c r="H4" i="64"/>
  <c r="H3" i="64"/>
  <c r="G6" i="64"/>
  <c r="F6" i="64"/>
  <c r="G25" i="64"/>
  <c r="F25" i="64"/>
  <c r="G17" i="64"/>
  <c r="F17" i="64"/>
  <c r="E90" i="9"/>
  <c r="D90" i="9"/>
  <c r="C90" i="9"/>
  <c r="B90" i="9"/>
  <c r="E62" i="9"/>
  <c r="D62" i="9"/>
  <c r="C62" i="9"/>
  <c r="B62" i="9"/>
  <c r="F61" i="9"/>
  <c r="F28" i="64" l="1"/>
  <c r="F40" i="64" s="1"/>
  <c r="H25" i="64"/>
  <c r="H17" i="64"/>
  <c r="G28" i="64"/>
  <c r="G40" i="64" s="1"/>
  <c r="H6" i="64"/>
  <c r="F90" i="9"/>
  <c r="F56" i="9"/>
  <c r="G57" i="63"/>
  <c r="H57" i="63"/>
  <c r="I74" i="24"/>
  <c r="H32" i="62"/>
  <c r="H27" i="62"/>
  <c r="H21" i="62"/>
  <c r="H16" i="62"/>
  <c r="H11" i="62"/>
  <c r="H7" i="62"/>
  <c r="H51" i="63"/>
  <c r="H39" i="63"/>
  <c r="H25" i="63"/>
  <c r="H17" i="63"/>
  <c r="H28" i="63" s="1"/>
  <c r="H6" i="63"/>
  <c r="F95" i="9" l="1"/>
  <c r="H40" i="64"/>
  <c r="F136" i="24"/>
  <c r="H33" i="62"/>
  <c r="H12" i="62"/>
  <c r="I77" i="24"/>
  <c r="H22" i="62"/>
  <c r="H40" i="63"/>
  <c r="H42" i="63" s="1"/>
  <c r="H58" i="63" s="1"/>
  <c r="H36" i="62" s="1"/>
  <c r="H26" i="64" l="1"/>
  <c r="H27" i="64"/>
  <c r="H18" i="64"/>
  <c r="H41" i="64"/>
  <c r="H38" i="64"/>
  <c r="H37" i="64"/>
  <c r="H36" i="64"/>
  <c r="H35" i="64"/>
  <c r="H34" i="64"/>
  <c r="H33" i="64"/>
  <c r="H32" i="64"/>
  <c r="H31" i="64"/>
  <c r="H30" i="64"/>
  <c r="G35" i="62"/>
  <c r="H28" i="64" l="1"/>
  <c r="C8" i="54"/>
  <c r="F62" i="9"/>
  <c r="I16" i="62" l="1"/>
  <c r="F135" i="24"/>
  <c r="G42" i="64"/>
  <c r="G51" i="63"/>
  <c r="F51" i="63"/>
  <c r="F39" i="63"/>
  <c r="G39" i="63"/>
  <c r="F25" i="63"/>
  <c r="G25" i="63"/>
  <c r="F17" i="63"/>
  <c r="G17" i="63"/>
  <c r="G6" i="63"/>
  <c r="F6" i="63"/>
  <c r="K17" i="63" l="1"/>
  <c r="K28" i="63" s="1"/>
  <c r="K39" i="63"/>
  <c r="I22" i="62"/>
  <c r="H42" i="64"/>
  <c r="K40" i="63" l="1"/>
  <c r="K42" i="63" s="1"/>
  <c r="K58" i="63" s="1"/>
  <c r="F57" i="63"/>
  <c r="F28" i="63"/>
  <c r="F40" i="63" s="1"/>
  <c r="F42" i="63" s="1"/>
  <c r="G32" i="62"/>
  <c r="G27" i="62"/>
  <c r="I139" i="24" s="1"/>
  <c r="G21" i="62"/>
  <c r="G16" i="62"/>
  <c r="F58" i="63" l="1"/>
  <c r="G28" i="63"/>
  <c r="G33" i="62"/>
  <c r="G40" i="63" l="1"/>
  <c r="G42" i="63" s="1"/>
  <c r="G58" i="63" s="1"/>
  <c r="G36" i="62" s="1"/>
  <c r="G37" i="62" s="1"/>
  <c r="G38" i="62" l="1"/>
  <c r="H35" i="62"/>
  <c r="H37" i="62" s="1"/>
  <c r="H46" i="61"/>
  <c r="H41" i="61"/>
  <c r="G41" i="61"/>
  <c r="H82" i="60"/>
  <c r="H78" i="60"/>
  <c r="G78" i="60"/>
  <c r="H38" i="62" l="1"/>
  <c r="H40" i="62" s="1"/>
  <c r="I35" i="62"/>
  <c r="I37" i="62" s="1"/>
  <c r="J35" i="62" s="1"/>
  <c r="J37" i="62" s="1"/>
  <c r="J38" i="62" s="1"/>
  <c r="J40" i="62" s="1"/>
  <c r="G11" i="62"/>
  <c r="G81" i="60"/>
  <c r="G82" i="60" s="1"/>
  <c r="G89" i="60" s="1"/>
  <c r="G7" i="62"/>
  <c r="G45" i="61" l="1"/>
  <c r="G12" i="62"/>
  <c r="G22" i="62" s="1"/>
  <c r="G40" i="62" s="1"/>
  <c r="G46" i="61" l="1"/>
  <c r="H55" i="61" s="1"/>
  <c r="C9" i="54"/>
  <c r="B5" i="54"/>
  <c r="C5" i="54" s="1"/>
  <c r="D14" i="53"/>
  <c r="F14" i="53" s="1"/>
  <c r="D15" i="53"/>
  <c r="F15" i="53" s="1"/>
  <c r="D16" i="53"/>
  <c r="F16" i="53" s="1"/>
  <c r="D17" i="53"/>
  <c r="F17" i="53" s="1"/>
  <c r="D18" i="53"/>
  <c r="F18" i="53" s="1"/>
  <c r="D19" i="53"/>
  <c r="F19" i="53" s="1"/>
  <c r="D20" i="53"/>
  <c r="F20" i="53"/>
  <c r="F21" i="53"/>
  <c r="E22" i="53"/>
  <c r="F22" i="53" l="1"/>
  <c r="I32" i="62" l="1"/>
  <c r="I33" i="62" s="1"/>
  <c r="I38" i="62" s="1"/>
  <c r="I40" i="62" s="1"/>
  <c r="F137" i="24" l="1"/>
  <c r="E190" i="24" l="1"/>
  <c r="I79" i="24" l="1"/>
  <c r="I131" i="24" s="1"/>
  <c r="I134" i="24"/>
  <c r="B7" i="53" l="1"/>
  <c r="B9" i="53" s="1"/>
  <c r="F24" i="53" s="1"/>
</calcChain>
</file>

<file path=xl/sharedStrings.xml><?xml version="1.0" encoding="utf-8"?>
<sst xmlns="http://schemas.openxmlformats.org/spreadsheetml/2006/main" count="1596" uniqueCount="652">
  <si>
    <t>Total Accounts Payable</t>
  </si>
  <si>
    <t>TOTAL</t>
  </si>
  <si>
    <t>1 - 30</t>
  </si>
  <si>
    <t xml:space="preserve"> </t>
  </si>
  <si>
    <t xml:space="preserve">PASIVOS </t>
  </si>
  <si>
    <t>PATRIMONIO</t>
  </si>
  <si>
    <t>TOTAL PASIVOS Y PATRIMONIO</t>
  </si>
  <si>
    <t xml:space="preserve">CUENTAS POR COBRAR </t>
  </si>
  <si>
    <t xml:space="preserve">TOTAL CARTERA </t>
  </si>
  <si>
    <t>31 - 60</t>
  </si>
  <si>
    <t>61 - 90</t>
  </si>
  <si>
    <t>&gt; 90</t>
  </si>
  <si>
    <t>INFORME FINANCIERO MENSUAL PARA LOS CONDOMINOS</t>
  </si>
  <si>
    <t>MOVIMIENTOS</t>
  </si>
  <si>
    <t>Concepto</t>
  </si>
  <si>
    <t>Parcial ¢</t>
  </si>
  <si>
    <t>TOTALES ¢</t>
  </si>
  <si>
    <t>¢</t>
  </si>
  <si>
    <t>MAS:          ENTRADAS/INGRESOS</t>
  </si>
  <si>
    <t>TOTAL SALDO BANCOS MAS ENTRADAS</t>
  </si>
  <si>
    <t>SALIDAS</t>
  </si>
  <si>
    <t>CUENTAS POR COBRAR</t>
  </si>
  <si>
    <t>URBANO INMOBILIARIA S.A.</t>
  </si>
  <si>
    <t>Administrador</t>
  </si>
  <si>
    <t xml:space="preserve">TOTAL SALIDAS DEL MES </t>
  </si>
  <si>
    <t xml:space="preserve">ANTICIPOS </t>
  </si>
  <si>
    <t>CUENTAS POR  PAGAR</t>
  </si>
  <si>
    <t>Type</t>
  </si>
  <si>
    <t>Date</t>
  </si>
  <si>
    <t>Num</t>
  </si>
  <si>
    <t>Name</t>
  </si>
  <si>
    <t>Memo</t>
  </si>
  <si>
    <t>Debit</t>
  </si>
  <si>
    <t>Credit</t>
  </si>
  <si>
    <t>Balance</t>
  </si>
  <si>
    <t>TOTAL DE INGRESOS DEL MES</t>
  </si>
  <si>
    <t>OTROS INGRESOS</t>
  </si>
  <si>
    <t xml:space="preserve">NO IDENTIFICADOS </t>
  </si>
  <si>
    <t>N.I.</t>
  </si>
  <si>
    <t>Agroservicios El Salitre S.A</t>
  </si>
  <si>
    <t>SALDO NETO SIN CONSIDERAR CUENTAS POR COBRAR</t>
  </si>
  <si>
    <t>SALDO</t>
  </si>
  <si>
    <t>MONTO GASTADO</t>
  </si>
  <si>
    <t>MONTO</t>
  </si>
  <si>
    <t>AHORRO x MES</t>
  </si>
  <si>
    <t>MESES</t>
  </si>
  <si>
    <t>DETALLE</t>
  </si>
  <si>
    <t>AHORROS DE GASTOS FUTUOS QUE SE DEBEN TENER ACUMULADOS</t>
  </si>
  <si>
    <t>SALDO NETO</t>
  </si>
  <si>
    <t>CUENTAS POR PAGAR</t>
  </si>
  <si>
    <t>ANTICIPOS DE CUOTAS</t>
  </si>
  <si>
    <t>CUENTAS por COBRAR</t>
  </si>
  <si>
    <t>BANCOS</t>
  </si>
  <si>
    <t>MES</t>
  </si>
  <si>
    <t>CUOTAS E ITEMS FACTURADOS</t>
  </si>
  <si>
    <t>CUOTAS E ITEMS RECAUDADAS</t>
  </si>
  <si>
    <t>SALDO DEL MES</t>
  </si>
  <si>
    <t>CUOTAS EXTRAORDINARIAS FACTURADAS</t>
  </si>
  <si>
    <t>CUOTAS EXTRORDINARIAS RECAUDADAS</t>
  </si>
  <si>
    <t xml:space="preserve">Otros Ingresos </t>
  </si>
  <si>
    <t>VISTA A LA COLINA</t>
  </si>
  <si>
    <t>01 · Bancos</t>
  </si>
  <si>
    <t>0103 · Banco Scotiabank</t>
  </si>
  <si>
    <t>015 · Cta.¢ 13001015700</t>
  </si>
  <si>
    <t xml:space="preserve">SALDO LIBROS </t>
  </si>
  <si>
    <t>SALDO BANCO</t>
  </si>
  <si>
    <t xml:space="preserve">Sumas Iguales </t>
  </si>
  <si>
    <t xml:space="preserve">Elabraado por </t>
  </si>
  <si>
    <t>016 · Cta.$ 13001015701</t>
  </si>
  <si>
    <t>0104 · Banco Bac San Jose</t>
  </si>
  <si>
    <t>017 · Bac ¢ 933524464</t>
  </si>
  <si>
    <t>018 · Bac $ 933524456</t>
  </si>
  <si>
    <t xml:space="preserve">Saldo Anterior </t>
  </si>
  <si>
    <t>Total 018 · Bac $ 933524456</t>
  </si>
  <si>
    <t>Ene,31,19</t>
  </si>
  <si>
    <t xml:space="preserve">A C T I V O S </t>
  </si>
  <si>
    <t>Total 0103 · Banco Scotiabank</t>
  </si>
  <si>
    <t>Total 0104 · Banco Bac San Jose</t>
  </si>
  <si>
    <t>Total 01 · Bancos</t>
  </si>
  <si>
    <t>12 · Cuentas por Cobrar</t>
  </si>
  <si>
    <t>1201 · Mantenimiento</t>
  </si>
  <si>
    <t>1211 · Cargos e intereses Mora en Pago</t>
  </si>
  <si>
    <t>Total 12 · Cuentas por Cobrar</t>
  </si>
  <si>
    <t xml:space="preserve">Otros  Activos </t>
  </si>
  <si>
    <t xml:space="preserve">Otras Cuentas por Cobrar </t>
  </si>
  <si>
    <t xml:space="preserve">Deposito de Garantia </t>
  </si>
  <si>
    <t xml:space="preserve">Depositos Pendientes </t>
  </si>
  <si>
    <t xml:space="preserve">Total  Desposito de Garantia </t>
  </si>
  <si>
    <t xml:space="preserve">TOTAL  ACTIVOS </t>
  </si>
  <si>
    <t>PASIVOS  Y  PATRIMONIO</t>
  </si>
  <si>
    <t xml:space="preserve">Cuentas por  pagar </t>
  </si>
  <si>
    <t>35 · C x P Proveedores</t>
  </si>
  <si>
    <t>Otras Cuentas por  Pagar</t>
  </si>
  <si>
    <t xml:space="preserve">Otras Cuentas por Pagar </t>
  </si>
  <si>
    <t xml:space="preserve">Anticipo de Condominos </t>
  </si>
  <si>
    <t xml:space="preserve">Depositos No identificados </t>
  </si>
  <si>
    <t>Total Other Current Liabilities</t>
  </si>
  <si>
    <t xml:space="preserve">Total  pasivos </t>
  </si>
  <si>
    <t xml:space="preserve">Excedentes Acumulados </t>
  </si>
  <si>
    <t>Excedentes o Perdoda del Periodo</t>
  </si>
  <si>
    <t>Total Patrimonio</t>
  </si>
  <si>
    <t>Ene,19</t>
  </si>
  <si>
    <t>7 · Ingresos</t>
  </si>
  <si>
    <t>71 · Mantenimiento</t>
  </si>
  <si>
    <t>72 · consumo Agua Aptos</t>
  </si>
  <si>
    <t>74 · Descuentos por Pronto Pago</t>
  </si>
  <si>
    <t>Total 7 · Ingresos</t>
  </si>
  <si>
    <t xml:space="preserve">EGRESOS </t>
  </si>
  <si>
    <t>81 · GASTOS FIJOS</t>
  </si>
  <si>
    <t>81001 · Vigilancia</t>
  </si>
  <si>
    <t>81003 · Contrato Limpieza y Mto General</t>
  </si>
  <si>
    <t>81004 · Contrato Jardineria</t>
  </si>
  <si>
    <t>81005 · Servicios Publicos</t>
  </si>
  <si>
    <t>810051 · Telefono</t>
  </si>
  <si>
    <t>810052 · Energia</t>
  </si>
  <si>
    <t>810053 · Agua</t>
  </si>
  <si>
    <t>810054 · Cable</t>
  </si>
  <si>
    <t>Total 81005 · Servicios Publicos</t>
  </si>
  <si>
    <t>81006 · Administracion Condominio</t>
  </si>
  <si>
    <t>81007 · Contratos Mantenimiento Equipos</t>
  </si>
  <si>
    <t>810072 · Contrato Elevadores</t>
  </si>
  <si>
    <t>810076 · CCTV - Camaras</t>
  </si>
  <si>
    <t>810077 · Mtto Planta de Tratamiento A.N.</t>
  </si>
  <si>
    <t xml:space="preserve">810078-Insumos de Piscina - Fuente </t>
  </si>
  <si>
    <t>810079-Recarga de Extintores</t>
  </si>
  <si>
    <t>Total 81007 · Contratos Mantenimiento Equipos</t>
  </si>
  <si>
    <t>81011 · Recarga de Gas</t>
  </si>
  <si>
    <t>81012 · .Asamblea Anual</t>
  </si>
  <si>
    <t>Total 81 · GASTOS FIJOS</t>
  </si>
  <si>
    <t>82 · GASTOS VARIABLES</t>
  </si>
  <si>
    <t>Mantenimiento Piscinas</t>
  </si>
  <si>
    <t>8202 · Aseo y Limpieza</t>
  </si>
  <si>
    <t>8203 · Mantenimiento Edificios</t>
  </si>
  <si>
    <t>8204 · Mantenimiento Equipos e Instala</t>
  </si>
  <si>
    <t>8205 · Mantenimiento de Jardines</t>
  </si>
  <si>
    <t>8206 · Mantenimiento Piscinas</t>
  </si>
  <si>
    <t>8209. Mtto. Correctivo Portones</t>
  </si>
  <si>
    <t>8211 · Gastos Administrativos</t>
  </si>
  <si>
    <t>8299 · Otros Gastos de Operacion</t>
  </si>
  <si>
    <t>Total 82 · GASTOS VARIABLES</t>
  </si>
  <si>
    <t xml:space="preserve">Total 82 · GASTOS </t>
  </si>
  <si>
    <t>83 · INVERSIONES Y MEJORAS</t>
  </si>
  <si>
    <t>Excedente  o Deficit Operativo</t>
  </si>
  <si>
    <t>85 · Ingresos No Operacionales</t>
  </si>
  <si>
    <t>Jardineria</t>
  </si>
  <si>
    <t>8502 · Intereses Bancarios</t>
  </si>
  <si>
    <t>8503 · Diferencia en Cambio</t>
  </si>
  <si>
    <t>8504 · Cargos e Intereses Morosidad</t>
  </si>
  <si>
    <t>8507.  Control de Acceso</t>
  </si>
  <si>
    <t>8508.  Otros</t>
  </si>
  <si>
    <t xml:space="preserve">Otros  Egresos </t>
  </si>
  <si>
    <t>86 · Gastos No operacionales</t>
  </si>
  <si>
    <t>8601 · Gastos x Diferencia en Cambio</t>
  </si>
  <si>
    <t>8602 · Gastos Bancarios</t>
  </si>
  <si>
    <t>Total 86 · Gastos No operacionales</t>
  </si>
  <si>
    <t>Feb,19</t>
  </si>
  <si>
    <t>Feb,28,19</t>
  </si>
  <si>
    <t>Karina Torrez</t>
  </si>
  <si>
    <t>TORRE I</t>
  </si>
  <si>
    <t>TORRE II</t>
  </si>
  <si>
    <t>Presupuesto</t>
  </si>
  <si>
    <t xml:space="preserve">         MOVIMIENTOS  BANCOS</t>
  </si>
  <si>
    <t xml:space="preserve">Saldo  Anterior </t>
  </si>
  <si>
    <t>Mar,19</t>
  </si>
  <si>
    <t>Mar,31,19</t>
  </si>
  <si>
    <t xml:space="preserve">Diferencial  Cambiario </t>
  </si>
  <si>
    <t xml:space="preserve">Reintegros  Varios </t>
  </si>
  <si>
    <t>TOTAL   INGRESOS</t>
  </si>
  <si>
    <t>TOTAL  OTROS INGRESOS</t>
  </si>
  <si>
    <t xml:space="preserve">8604-  Otros Gastos no Operativos </t>
  </si>
  <si>
    <t>Total TORRE I</t>
  </si>
  <si>
    <t>Total TORRE II</t>
  </si>
  <si>
    <t>TORRE  II</t>
  </si>
  <si>
    <t>TORRE III IV</t>
  </si>
  <si>
    <t>TORRE  III  IV</t>
  </si>
  <si>
    <t>Abr,30,19</t>
  </si>
  <si>
    <t>Abr,19</t>
  </si>
  <si>
    <t>8208. Mtto. Correctivo Equipos</t>
  </si>
  <si>
    <t>May,31,19</t>
  </si>
  <si>
    <t>Enero a  Mayo</t>
  </si>
  <si>
    <t>Tipo de Cambio Compra Banco Central    Mayo 31 /2019</t>
  </si>
  <si>
    <t>Payment</t>
  </si>
  <si>
    <t>TORRE I:301 Andres Umbert Huebner</t>
  </si>
  <si>
    <t>dp406402437</t>
  </si>
  <si>
    <t>TORRE II:109 ROCIO QUIROS FOURNIER</t>
  </si>
  <si>
    <t xml:space="preserve">dp406404181	</t>
  </si>
  <si>
    <t>TORRE II:107 SOFIA SANABRIA  FONSECA</t>
  </si>
  <si>
    <t>dp	406401742</t>
  </si>
  <si>
    <t>TORRE II:307 HEMK DEMMERS</t>
  </si>
  <si>
    <t>dp666405544</t>
  </si>
  <si>
    <t>Bill Pmt -Check</t>
  </si>
  <si>
    <t>Tr950494584</t>
  </si>
  <si>
    <t>Servicios Multiples Casa Limpia</t>
  </si>
  <si>
    <t>Fact 24 Servicio de mtto y limpieza del 16 al 30 de Diciembre 2018</t>
  </si>
  <si>
    <t>General Journal</t>
  </si>
  <si>
    <t>COMISION CD SINPE 950494584</t>
  </si>
  <si>
    <t>Tr950494862</t>
  </si>
  <si>
    <t>Grupo MD de Higiene Profesional S.A.</t>
  </si>
  <si>
    <t>Fact 176 Compra de 10kg de bolsas de jardin</t>
  </si>
  <si>
    <t>COMISION CD SINPE 950494862</t>
  </si>
  <si>
    <t>Tr950497742</t>
  </si>
  <si>
    <t>OSCAR LIZANO QUESADA</t>
  </si>
  <si>
    <t>Pago de facturas 375-390 honorarios por tramites de cobros juridicos</t>
  </si>
  <si>
    <t>COMISION CD SINPE 950497742</t>
  </si>
  <si>
    <t>Tr406409590</t>
  </si>
  <si>
    <t>Servicios Administrativos la Rivera S.A.</t>
  </si>
  <si>
    <t>Fact 29 Servicio de seguridad del 1 al 15 de Diciembre 2018</t>
  </si>
  <si>
    <t>Tr406409593</t>
  </si>
  <si>
    <t>Agroservicios el Salitre, S.A</t>
  </si>
  <si>
    <t>Pago de factura 120240-125989 compra de insumos</t>
  </si>
  <si>
    <t>Check</t>
  </si>
  <si>
    <t>Tr406403603</t>
  </si>
  <si>
    <t>Urbano Inmobiliaria Limitada</t>
  </si>
  <si>
    <t>Reintegro t.c. compra de mouse para caseta en Office Depot</t>
  </si>
  <si>
    <t>Tr951500898</t>
  </si>
  <si>
    <t>Cabletica</t>
  </si>
  <si>
    <t>Pago CABLETICA 1046426</t>
  </si>
  <si>
    <t>Tr951503273</t>
  </si>
  <si>
    <t>Tr951503728</t>
  </si>
  <si>
    <t>Pago CABLETICA 1046429</t>
  </si>
  <si>
    <t>Tr951505996</t>
  </si>
  <si>
    <t>TORRE I:209 INQ Ana Elizabeth Rodriguez</t>
  </si>
  <si>
    <t>dp185403170</t>
  </si>
  <si>
    <t>TORRE I:305 RANDALL QUIROS MARCHENA</t>
  </si>
  <si>
    <t>dp406401602</t>
  </si>
  <si>
    <t>TORRE II:105 PAULA ALVARADO CUADROS</t>
  </si>
  <si>
    <t>dp406402590</t>
  </si>
  <si>
    <t>TORRE II:101 ROXANA CORDERO</t>
  </si>
  <si>
    <t>dp406402908</t>
  </si>
  <si>
    <t>TORRE II:108 STEVEN RATTNER</t>
  </si>
  <si>
    <t xml:space="preserve">dp490206763	</t>
  </si>
  <si>
    <t>TORRE II:210 XOCHITL GONZÁLEZ GONZÁLEZ</t>
  </si>
  <si>
    <t>dp406406573</t>
  </si>
  <si>
    <t>TORRE II:307 T II INQ Daniel Andres Mogollon Sabog</t>
  </si>
  <si>
    <t>dDP406402285</t>
  </si>
  <si>
    <t>Deposit</t>
  </si>
  <si>
    <t>DP666405652</t>
  </si>
  <si>
    <t>TORRE II:305 MICHEL SAVDIE</t>
  </si>
  <si>
    <t>DP960416328</t>
  </si>
  <si>
    <t>TORRE II:206 T II INQ Raúl José Guardian</t>
  </si>
  <si>
    <t>DP49901760</t>
  </si>
  <si>
    <t>TORRE II:206 ALEXANDER FRENCH</t>
  </si>
  <si>
    <t>dp406404009</t>
  </si>
  <si>
    <t>Tr951436570</t>
  </si>
  <si>
    <t>Compañía Nacional de Fuerza y Luz, S.A</t>
  </si>
  <si>
    <t>Pago CNFL Electricidad 2752434</t>
  </si>
  <si>
    <t>Tr951437238</t>
  </si>
  <si>
    <t>Pago CNFL Electricidad 2752435</t>
  </si>
  <si>
    <t>Tr951437707</t>
  </si>
  <si>
    <t>TORRE II:203 Mario Grimaldi Santos</t>
  </si>
  <si>
    <t>dp406402577</t>
  </si>
  <si>
    <t>TORRE II:103 JOHNNY VARGAS SELVA</t>
  </si>
  <si>
    <t>dp	960428332</t>
  </si>
  <si>
    <t>TORRE II:104 MARIA ANTONIETA DIMASE BALBI</t>
  </si>
  <si>
    <t>dp136802961</t>
  </si>
  <si>
    <t>TORRE I:304 FRANCISCO RUCAVADO LUQUE</t>
  </si>
  <si>
    <t>dp185507051</t>
  </si>
  <si>
    <t>TORRE II:308  Juan Carlos Núñez y Alejandra Sáenz</t>
  </si>
  <si>
    <t>dp406404457</t>
  </si>
  <si>
    <t>dp406404611</t>
  </si>
  <si>
    <t>TORRE II:207 SAUL BIBAS</t>
  </si>
  <si>
    <t>dp406400507</t>
  </si>
  <si>
    <t>TORRE I:101 ARIADNA NAVARRO LOPEZ</t>
  </si>
  <si>
    <t>dp406401660</t>
  </si>
  <si>
    <t>TORRE II:209 LAURA RAQUEL REYES SANCHEZ</t>
  </si>
  <si>
    <t>dp406403844</t>
  </si>
  <si>
    <t>TORRE II:301 NICOLAS</t>
  </si>
  <si>
    <t>dp406403834</t>
  </si>
  <si>
    <t>TORRE II:202 Paola Andrea Valencia Amaya</t>
  </si>
  <si>
    <t>dp406406300</t>
  </si>
  <si>
    <t>TORRE II:309 Sergio Kellerman</t>
  </si>
  <si>
    <t>dp406401865</t>
  </si>
  <si>
    <t>TORRE I:208 ALVARO SEGARES DE LA VEGA</t>
  </si>
  <si>
    <t>dp406405008</t>
  </si>
  <si>
    <t>NO IDENTIFICADO</t>
  </si>
  <si>
    <t>dp406403786 TEF DE:JOHAN ALBERTO VILLEGAS</t>
  </si>
  <si>
    <t>TORRE I:102 MARIA EVA MORREALE</t>
  </si>
  <si>
    <t xml:space="preserve">dp406408702	</t>
  </si>
  <si>
    <t>14/05/2019</t>
  </si>
  <si>
    <t>TORRE II:208 ALBERTO BENTATA</t>
  </si>
  <si>
    <t xml:space="preserve">dp630008012	</t>
  </si>
  <si>
    <t>TORRE II:110 MARIANA MORA RODRIGUEZ</t>
  </si>
  <si>
    <t>dp406409879</t>
  </si>
  <si>
    <t>TORRE I:306 MARCOS PONCHNER GELLER</t>
  </si>
  <si>
    <t>dp960465718</t>
  </si>
  <si>
    <t>TORRE I:104 Jorge Luis Colmenares</t>
  </si>
  <si>
    <t xml:space="preserve">dp406407926	</t>
  </si>
  <si>
    <t>TORRE I:104 INQ</t>
  </si>
  <si>
    <t>dp406408072</t>
  </si>
  <si>
    <t>dp406407192</t>
  </si>
  <si>
    <t>TORRE I:302 T I INQ Sue Haymee Jiménez</t>
  </si>
  <si>
    <t xml:space="preserve">dp666404304	</t>
  </si>
  <si>
    <t>22/05/2019</t>
  </si>
  <si>
    <t>Tr951462389</t>
  </si>
  <si>
    <t>A Y A</t>
  </si>
  <si>
    <t>Pago AYA 5421137</t>
  </si>
  <si>
    <t>Tr406409408</t>
  </si>
  <si>
    <t>Ivanoe Altamirano Torres</t>
  </si>
  <si>
    <t>Fact 55 Cambio de llaves de 1 1/4 de sistemas de riego para jardines, reparación de una filtraci...</t>
  </si>
  <si>
    <t>Tr406409562</t>
  </si>
  <si>
    <t>Fact 37 Servicio de seguridad del 16 al 30 de Diciembre 2018</t>
  </si>
  <si>
    <t>Tr406406324</t>
  </si>
  <si>
    <t>Ricardo Moya Perez</t>
  </si>
  <si>
    <t>Fact 102 cabio e instalacion de cableado electrico, contactor y contacto de auxiliar de control ...</t>
  </si>
  <si>
    <t>Tr406406325</t>
  </si>
  <si>
    <t>Fact 139241 Compra de cable, tape super, caja de paso</t>
  </si>
  <si>
    <t>Tr406406326</t>
  </si>
  <si>
    <t>Fact 139071 compra de protecto, masking, brocha atlas</t>
  </si>
  <si>
    <t>Tr406406328</t>
  </si>
  <si>
    <t>Fact 93 colocacion de un galon de aceite a generador electrico de emergencia</t>
  </si>
  <si>
    <t>Tr406406329</t>
  </si>
  <si>
    <t>Fact 107464 Compra de telefono inalambrico panasonic</t>
  </si>
  <si>
    <t>TORRE I:308 INQ  Roberto Gajardo</t>
  </si>
  <si>
    <t>dp	406408892</t>
  </si>
  <si>
    <t>dp	406409336</t>
  </si>
  <si>
    <t>TORRE II:302 Bernardo Molina</t>
  </si>
  <si>
    <t>dp666400714</t>
  </si>
  <si>
    <t>dp960411813</t>
  </si>
  <si>
    <t>24/05/2019</t>
  </si>
  <si>
    <t>Tr951421123</t>
  </si>
  <si>
    <t>Movistar</t>
  </si>
  <si>
    <t>Pago RECARGA MOVISTAR</t>
  </si>
  <si>
    <t>TORRE II:207 TII INQ Natasha  Fleming</t>
  </si>
  <si>
    <t xml:space="preserve">dp	406404947	</t>
  </si>
  <si>
    <t>30/05/2019</t>
  </si>
  <si>
    <t>dpdp406405698</t>
  </si>
  <si>
    <t>31/05/2019</t>
  </si>
  <si>
    <t xml:space="preserve">dp	406401615	</t>
  </si>
  <si>
    <t>TORRE II:201 NUEVA ERA:201 T INQ  Maribel Borjas</t>
  </si>
  <si>
    <t>dp406403056</t>
  </si>
  <si>
    <t>dp666401309</t>
  </si>
  <si>
    <t>TORRE I:303 SIMON MEKLER WATEMBERG</t>
  </si>
  <si>
    <t>dp960470790</t>
  </si>
  <si>
    <t>DP406408204</t>
  </si>
  <si>
    <t>$16.985.00 DPDP666405891</t>
  </si>
  <si>
    <t>$ 271.76 DP666404258</t>
  </si>
  <si>
    <t>TORRE I:204 WLADIMIRO DURAND</t>
  </si>
  <si>
    <t>$0.50 COMISION CD SINPE</t>
  </si>
  <si>
    <t>23/05/2019</t>
  </si>
  <si>
    <t>$1,142.77 Fact 48 Servicio de mtto y limpieza del 16 al 28 de Febrero 2019</t>
  </si>
  <si>
    <t>Tr950442970</t>
  </si>
  <si>
    <t>$83.33 Fact 58 Servicio de Jardineria dia miercoles 30  de enero 2019</t>
  </si>
  <si>
    <t>Tr950442974</t>
  </si>
  <si>
    <t>$333.33 Fact 57 Servicio de mtto jardines</t>
  </si>
  <si>
    <t>Tr950442976</t>
  </si>
  <si>
    <t>$1,142.77 Fact 47 Servicio de mtto y limpieza del 1 al 15 de Febrero 2019</t>
  </si>
  <si>
    <t>Tr950442963</t>
  </si>
  <si>
    <t>$1,142.77 Fact 36 Servicio de mtto y limpieza del 16 al 30 de Enero 2019</t>
  </si>
  <si>
    <t>Tr950442965</t>
  </si>
  <si>
    <t>$1,142.77 Fact 35 Servicio de mtto y limpieza del 1 al 15 de Enero 2019</t>
  </si>
  <si>
    <t>Tr950442968</t>
  </si>
  <si>
    <t>$6,440.00  Factura 243 Instalación de soplador de aire en condominio vistas</t>
  </si>
  <si>
    <t>Altragua, S.A.</t>
  </si>
  <si>
    <t>Tr406409554</t>
  </si>
  <si>
    <t>$160 Fact 773 Servicio de mtto elevadores mes de Febrero 2019</t>
  </si>
  <si>
    <t>Estilo Ingenieria CO, S.A.</t>
  </si>
  <si>
    <t>Tr406409579</t>
  </si>
  <si>
    <t>$160 Fact 554 Servicio de mtto elevadores mes de Enero 2019</t>
  </si>
  <si>
    <t>Tr406409572</t>
  </si>
  <si>
    <t>$150 Fact 133 Servicio de mtto de la planta de tratamiento mes de Febrero 2019</t>
  </si>
  <si>
    <t>Tr406409568</t>
  </si>
  <si>
    <t>$150 Fact 97 Servicio de mtto de la planta de tratamiento mes de Enero</t>
  </si>
  <si>
    <t>Tr406409556</t>
  </si>
  <si>
    <t>$1200 Honorarios adm mes de Febrero 2019</t>
  </si>
  <si>
    <t>Tr406409573</t>
  </si>
  <si>
    <t>$840 Fact 248-282 Alquiler de camaras cctv mes de Enero y Febrero 2019</t>
  </si>
  <si>
    <t>TVO DIGITAL SISTEM S.A.</t>
  </si>
  <si>
    <t>Tr406409555</t>
  </si>
  <si>
    <t>$1200 Honorarios adm mes de Enero 2019</t>
  </si>
  <si>
    <t>Tr406409553</t>
  </si>
  <si>
    <t>$2,156.84 Fact 74 Servicio de seguridad del 1 al 15 de Febrero 2019</t>
  </si>
  <si>
    <t>Tr406409575</t>
  </si>
  <si>
    <t>$2,156.84 Fact 62 Servicio de seguridad del 1 al 15 de Enero 2019</t>
  </si>
  <si>
    <t>Tr406409574</t>
  </si>
  <si>
    <t>$832.92 Fact 37 Servicio de seguridad del 16 al 30 de Diciembre 2018</t>
  </si>
  <si>
    <t>Tr406409571</t>
  </si>
  <si>
    <t>$2,156.84 Fact 75 Servicio de seguridad del 16 al 28 de Febrero 2019</t>
  </si>
  <si>
    <t>Tr406409567</t>
  </si>
  <si>
    <t>$2,156.84 Fact 63 Servicio de seguridad del 16 al 30 de Enero 2019</t>
  </si>
  <si>
    <t>Tr406409552</t>
  </si>
  <si>
    <t>$10 dp406404317 :NICOLAS ALVEAR VELASTEG</t>
  </si>
  <si>
    <t>$763.15 dpdp	630203327</t>
  </si>
  <si>
    <t>$269.58dp666404890</t>
  </si>
  <si>
    <t>$153.78 dp575904421</t>
  </si>
  <si>
    <t>TORRE II:201 NUEVA ERA</t>
  </si>
  <si>
    <t xml:space="preserve">$214.26 dp575904420	</t>
  </si>
  <si>
    <t>TORRE II:106 ALBERTO CASTRO HOYOS</t>
  </si>
  <si>
    <t>$231 dp960411516</t>
  </si>
  <si>
    <t>TORRE I:207 CHRISTIAN RUIZ SARRIA</t>
  </si>
  <si>
    <t>$33.69  Pago CABLETICA 1046429</t>
  </si>
  <si>
    <t>Tr951504403</t>
  </si>
  <si>
    <t>$180 Fact 61 Cinfeccion de reporte operacional ante el ministerio de salud</t>
  </si>
  <si>
    <t>Tr	40640958</t>
  </si>
  <si>
    <t>$1200   Honorarios adm mes de Diciembre 2018</t>
  </si>
  <si>
    <t>Tr	40640360</t>
  </si>
  <si>
    <t>MAYO  31   DE  2019</t>
  </si>
  <si>
    <t>Saldo Bancos   Abril   30  de   2019</t>
  </si>
  <si>
    <t>TORRE I:108  Laura Cortes</t>
  </si>
  <si>
    <t>TORRE II:102 R TRECE GORDIENKO S.A.</t>
  </si>
  <si>
    <t>TORRE II:205 T II INQ IGNACIO OSANTE</t>
  </si>
  <si>
    <t>TORRE II:310 Jaime Delso y Susan Del Santo</t>
  </si>
  <si>
    <t xml:space="preserve"> Leon Bibas Merenfeld</t>
  </si>
  <si>
    <t>DESARROLLADORA</t>
  </si>
  <si>
    <t>Comisiones y Diferencial Cambiario</t>
  </si>
  <si>
    <t xml:space="preserve"> Total  Disponible  Mayo 31    de 2019 </t>
  </si>
  <si>
    <t>206 DESARROLLADORA</t>
  </si>
  <si>
    <t>204 WLADIMIRO DURAND</t>
  </si>
  <si>
    <t>209 DESARROLLADORA</t>
  </si>
  <si>
    <t>210</t>
  </si>
  <si>
    <t>302 DESARROLLADORA</t>
  </si>
  <si>
    <t>106 TERESA CASTRO</t>
  </si>
  <si>
    <t>303 INQ  Luis Fernando Cifuente</t>
  </si>
  <si>
    <t>101 ARIADNA NAVARRO LOPEZ</t>
  </si>
  <si>
    <t>306 T I INQ</t>
  </si>
  <si>
    <t>209 INQ Ana Elizabeth Rodriguez</t>
  </si>
  <si>
    <t>202 T I INQ NICOLA PAPANGELO</t>
  </si>
  <si>
    <t>105 T I INQ ERNESTO GALLO</t>
  </si>
  <si>
    <t>109 T INQ Álvaro Cortes</t>
  </si>
  <si>
    <t>203 INQ Abel Antonio Fermin</t>
  </si>
  <si>
    <t>108  Laura Cortes</t>
  </si>
  <si>
    <t>205 ZAIDA HERRERA/ ANDRES RODRIGUEZ H</t>
  </si>
  <si>
    <t>301 T I INQ Roberto Acuña Bermúdez</t>
  </si>
  <si>
    <t>105 JAIME IVAN RODRIGUEZ</t>
  </si>
  <si>
    <t>302 T I INQ Sue Haymee Jiménez</t>
  </si>
  <si>
    <t>304 T INQ</t>
  </si>
  <si>
    <t>307 T INQ Ivonne Carnevali</t>
  </si>
  <si>
    <t>104 INQ</t>
  </si>
  <si>
    <t>107 T I INQ</t>
  </si>
  <si>
    <t>202 Simone Castellani,</t>
  </si>
  <si>
    <t>303 SIMON MEKLER WATEMBERG</t>
  </si>
  <si>
    <t>208 ALVARO SEGARES DE LA VEGA</t>
  </si>
  <si>
    <t>207 CHRISTIAN RUIZ SARRIA</t>
  </si>
  <si>
    <t>201  JHON RIAÑO</t>
  </si>
  <si>
    <t>307 LUIS GUILLERMO TORRES</t>
  </si>
  <si>
    <t>103 RAUL COLMENARES</t>
  </si>
  <si>
    <t>104 Jorge Luis Colmenares</t>
  </si>
  <si>
    <t>110 FABIAN DITAMO</t>
  </si>
  <si>
    <t>305 RANDALL QUIROS MARCHENA</t>
  </si>
  <si>
    <t>107 ESTEFANIA GUTIERREZ</t>
  </si>
  <si>
    <t>104 MARIA ANTONIETA DIMASE BALBI</t>
  </si>
  <si>
    <t xml:space="preserve">201 NUEVA ERA  </t>
  </si>
  <si>
    <t>209 LAURA RAQUEL REYES SANCHEZ</t>
  </si>
  <si>
    <t>307 T II INQ Daniel Andres Mogollon Sabog</t>
  </si>
  <si>
    <t>108 STEVEN RATTNER</t>
  </si>
  <si>
    <t>207 SAUL BIBAS</t>
  </si>
  <si>
    <t>210 XOCHITL GONZÁLEZ GONZÁLEZ</t>
  </si>
  <si>
    <t>203 Mario Grimaldi Santos</t>
  </si>
  <si>
    <t>304 CARLOS ALVARADO QUESADA</t>
  </si>
  <si>
    <t>206 ALEXANDER FRENCH</t>
  </si>
  <si>
    <t>103 JOHNNY VARGAS SELVA</t>
  </si>
  <si>
    <t>309 Sergio Kellerman</t>
  </si>
  <si>
    <t>205 BL CONSULTORES</t>
  </si>
  <si>
    <t>310 Jaime Delso y Susan Del Santo</t>
  </si>
  <si>
    <t>109 ROCIO QUIROS FOURNIER</t>
  </si>
  <si>
    <t>208 ALBERTO BENTATA</t>
  </si>
  <si>
    <t>101 ROXANA CORDERO</t>
  </si>
  <si>
    <t>105 PAULA ALVARADO CUADROS</t>
  </si>
  <si>
    <t>301 NICOLAS</t>
  </si>
  <si>
    <t>302 Bernardo Molina</t>
  </si>
  <si>
    <t>106 T II INQ Cecilia Lyon</t>
  </si>
  <si>
    <t>208  T II INQ JUAN PABLO</t>
  </si>
  <si>
    <t>105 T II INQ Maria Fernanda Pereira.</t>
  </si>
  <si>
    <t>308  Juan Carlos Núñez y Alejandra Sáenz</t>
  </si>
  <si>
    <t>104  T II INQ</t>
  </si>
  <si>
    <t>205 T II INQ IGNACIO OSANTE</t>
  </si>
  <si>
    <t>310 INQ Magali Cubillos Rojas</t>
  </si>
  <si>
    <t>306 T II INQ GASHI</t>
  </si>
  <si>
    <t>305 T II INQ</t>
  </si>
  <si>
    <t>207 TII INQ Natasha  Fleming</t>
  </si>
  <si>
    <t>102 T II INQ JOSE CARAVACA</t>
  </si>
  <si>
    <t>302 T II INQ</t>
  </si>
  <si>
    <t>108 T II INQ Rene Lara Gonzales</t>
  </si>
  <si>
    <t>106 ALBERTO CASTRO HOYOS</t>
  </si>
  <si>
    <t>303 T II INQ</t>
  </si>
  <si>
    <t>204 DESARROLLADORA</t>
  </si>
  <si>
    <t>May,19</t>
  </si>
  <si>
    <t>Ordinary Income/Expense</t>
  </si>
  <si>
    <t>Expense</t>
  </si>
  <si>
    <t>Bill</t>
  </si>
  <si>
    <t>24/01/2019</t>
  </si>
  <si>
    <t>Fact 62 Servicio de seguridad del 1 al 15 de Enero 2019</t>
  </si>
  <si>
    <t>Fact 63 Servicio de seguridad del 16 al 30 de Enero 2019</t>
  </si>
  <si>
    <t>Fact 74 Servicio de seguridad del 1 al 15 de Febrero 2019</t>
  </si>
  <si>
    <t>Fact 75 Servicio de seguridad del 16 al 28 de Febrero 2019</t>
  </si>
  <si>
    <t>Fact 91 Servicio de seguridad del 16 al 31 de Marzo 2019</t>
  </si>
  <si>
    <t>Fact 90  Servicio de seguridad del 1 al 15 de Marzo 2019</t>
  </si>
  <si>
    <t>Fact 110 Servicio de seguridad del 16 al 30 de Abril 2019</t>
  </si>
  <si>
    <t>Fact 103 Servicio de seguridad del 1 al 15 de Abril 2019</t>
  </si>
  <si>
    <t>Fact 120 Servicio de seguridd del 1 al 15 de Mayo 2019</t>
  </si>
  <si>
    <t>Fact 128 Servicio de seguridad del 16 al 30 de Mayo 2019</t>
  </si>
  <si>
    <t>Total 81001 · Vigilancia</t>
  </si>
  <si>
    <t>26/01/2019</t>
  </si>
  <si>
    <t>Fact 35 Servicio de mtto y limpieza del 1 al 15 de Enero 2019</t>
  </si>
  <si>
    <t>Fact 36 Servicio de mtto y limpieza del 16 al 30 de Enero 2019</t>
  </si>
  <si>
    <t>Fact 47 Servicio de mtto y limpieza del 1 al 15 de Febrero 2019</t>
  </si>
  <si>
    <t>Fact 48 Servicio de mtto y limpieza del 16 al 28 de Febrero 2019</t>
  </si>
  <si>
    <t>Fact 59 Servicio de mtto y limpieza de areas comunes 1 al 15 de Marzo 2019</t>
  </si>
  <si>
    <t>FAct 60 Servicio de mtto y limpieza del 16 al 31 de Marzo 2019</t>
  </si>
  <si>
    <t>Fact 72 Serivicio de mtto y limpieza del 16 al 30 de Abril 2019</t>
  </si>
  <si>
    <t>Fact 71 servicio de mtto y limpieza del 1 a 15 de Abril . reintegro compra de llave de chorro, pvc</t>
  </si>
  <si>
    <t>Fact Servicio de mtto y limpieza del 1  al 15 de Mayo 2019</t>
  </si>
  <si>
    <t>Fact 92 Servicio de Mantenimiento y Limpieza del 15 al 31 de mayo del 2019</t>
  </si>
  <si>
    <t>Total 81003 · Contrato Limpieza y Mto General</t>
  </si>
  <si>
    <t>Fact 57 Servicio de mtto jardines</t>
  </si>
  <si>
    <t>Fact 58 Servicio de Jardineria dia miercoles 30  de enero 2019</t>
  </si>
  <si>
    <t>25/04/2019</t>
  </si>
  <si>
    <t>Fact 86 Servicio de jardineria del mes de Febrero</t>
  </si>
  <si>
    <t>Fact 81 Servicio de mtto de jardines mes de Marzo 2019</t>
  </si>
  <si>
    <t>Fact 82 Servicio de mtto jardineria Abril 2019</t>
  </si>
  <si>
    <t>Fact 94 Servicio de mtto de jardines mes de Mayo 2019</t>
  </si>
  <si>
    <t>Total 81004 · Contrato Jardineria</t>
  </si>
  <si>
    <t>18/01/2019</t>
  </si>
  <si>
    <t>Melissa Padilla Arias</t>
  </si>
  <si>
    <t>Reintegro recarga de telefono   caseta</t>
  </si>
  <si>
    <t>Reintegro t.c.  recarga de celular</t>
  </si>
  <si>
    <t>28/03/2019</t>
  </si>
  <si>
    <t>Total 810051 · Telefono</t>
  </si>
  <si>
    <t>Pago CNFL Electricidad  2752435</t>
  </si>
  <si>
    <t>Pago Serv SL-27524350</t>
  </si>
  <si>
    <t>Pago Serv SL-27524345</t>
  </si>
  <si>
    <t>15/04/2019</t>
  </si>
  <si>
    <t>Pago CNFL Electricida 2752435</t>
  </si>
  <si>
    <t>Total 810052 · Energia</t>
  </si>
  <si>
    <t>Total 810053 · Agua</t>
  </si>
  <si>
    <t>810054 · Cable - Internet</t>
  </si>
  <si>
    <t>Pago Serv SL-1046429</t>
  </si>
  <si>
    <t>Pago Serv SL-1046426</t>
  </si>
  <si>
    <t>$37.08 Pago CABLETICA 1046426</t>
  </si>
  <si>
    <t>$30.52  Pago CABLETICA 1046429</t>
  </si>
  <si>
    <t>Total 810054 · Cable - Internet</t>
  </si>
  <si>
    <t>27/02/2019</t>
  </si>
  <si>
    <t>29/03/2019</t>
  </si>
  <si>
    <t>$1200 Honorarios administracion mes de Marzo 2019</t>
  </si>
  <si>
    <t>30/04/2019</t>
  </si>
  <si>
    <t>$1200 Honorarios administracion mes de Abril 2019</t>
  </si>
  <si>
    <t>13/05/2019</t>
  </si>
  <si>
    <t>$1200 Honorarios administracion 2019</t>
  </si>
  <si>
    <t>Total 81006 · Administracion Condominio</t>
  </si>
  <si>
    <t>$160 Fact 980 Servicio de mtto de la planta de tratamiento mes de Marzo</t>
  </si>
  <si>
    <t>$160 Fact 1200 Servicio de mtto elevadores mes de Abril</t>
  </si>
  <si>
    <t>$160 Fact 1419 Servicio de mtto de elevadores mes de Mayo 2019</t>
  </si>
  <si>
    <t>Total 810072 · Contrato Elevadores</t>
  </si>
  <si>
    <t>$420 Fact 248 Servicio alquiler CCTV Mes de Enero 2019</t>
  </si>
  <si>
    <t>$420 Fact 282 ALQUILER DE EQUIPO CCTV mes de Febrero 2019</t>
  </si>
  <si>
    <t>$420 Fact 339 Alquiler de camaras cctv mes de Marzo 2019</t>
  </si>
  <si>
    <t>$420 Fact 407 Aqluiler de camaras de vigilancia mes de Abril</t>
  </si>
  <si>
    <t>$420 Fact 476 -ALQUILER DE CÁMARAS DE VIGILANCIA CORRESPONDIENTE AL MES DE MAYO</t>
  </si>
  <si>
    <t>Total 810076 · CCTV - Camaras</t>
  </si>
  <si>
    <t>$150 Fact 163 Servicio de mtto de la planta de tratamiento mes de Marzo 2019</t>
  </si>
  <si>
    <t>$150 Fact 192 Servicio de mtto de la planta de tratamiento mes de Abril</t>
  </si>
  <si>
    <t>$150 Fact 228 Servicio de mtto de la planta de tratamiento mes de Mayo 2019</t>
  </si>
  <si>
    <t>Total 810077 · Mtto Planta de Tratamiento A.N.</t>
  </si>
  <si>
    <t>Fact 375 Honorarios por protocolizacion e inscripcion acta de asamblea</t>
  </si>
  <si>
    <t>Total 81012 · .Asamblea Anual</t>
  </si>
  <si>
    <t>Fact 96493 Compra de mecate, sprinkler plast, pistola  manguera</t>
  </si>
  <si>
    <t>Nelka Tours S.A.</t>
  </si>
  <si>
    <t>Fact 1683 Soldadura en pasamanos de gradas</t>
  </si>
  <si>
    <t>Fact 367 Compra de bolsas de basura</t>
  </si>
  <si>
    <t>Fact 378 Compa de bolsas de basura, jabon, desinfectante, guantes, cloro, controlador de olores</t>
  </si>
  <si>
    <t>26/02/2019</t>
  </si>
  <si>
    <t>Fact 467 compra de controlador de olores, jabon liquido, bolsas de basura</t>
  </si>
  <si>
    <t>Fact 120240 Compra de gaza plastica, cinta señal</t>
  </si>
  <si>
    <t>Reintegro t.c. compra de maskin, compra de Diesel</t>
  </si>
  <si>
    <t>26/03/2019</t>
  </si>
  <si>
    <t>Fact 125989 Compra de acople maacho y hembra, escoba para jardin,</t>
  </si>
  <si>
    <t>Fact 67 cambiar la llave de abasto del inodoro de la caseta del guarda.Reparar las sillas de la ...</t>
  </si>
  <si>
    <t>Monte Meru M&amp;M S.A.</t>
  </si>
  <si>
    <t>Fact 589 Compra de 25 bombillos RB HALOGENO G9 40W 120V ANTI</t>
  </si>
  <si>
    <t xml:space="preserve"> reintegro compra de llave de chorro, pvc codo, teflon</t>
  </si>
  <si>
    <t>Fact  86 tapar gotera en parqueos, cambio de llave de inodoro de la caseta de guarda</t>
  </si>
  <si>
    <t>Fact 645 Compra de bolsas, desinfectante, papel hig, cloro, escoba, toalla interf.</t>
  </si>
  <si>
    <t>FAct 85 Soldar  baranda    en  las gradas del parqueo</t>
  </si>
  <si>
    <t>28/05/2019</t>
  </si>
  <si>
    <t>Fact 160700 BOMBILLO LED A60 9W,TELVAR 7.5 250CC, BIOQUAT 20SL LTS.</t>
  </si>
  <si>
    <t>Total 8203 · Mantenimiento Edificios</t>
  </si>
  <si>
    <t>$966 Fact 112 Servicio de reparacion de soplador en planta de tratamiento</t>
  </si>
  <si>
    <t>20/03/2019</t>
  </si>
  <si>
    <t>$600 Fact 173 Servicio de reparacion de piñones y cilindro de soplador</t>
  </si>
  <si>
    <t>Fact 76 Servicio de mtto peventivo de maquinas de gimnasio(caminadoras)</t>
  </si>
  <si>
    <t>27/05/2019</t>
  </si>
  <si>
    <t>$136.73 Fact 1305 CONTACTOR ABB AF-09-KMM</t>
  </si>
  <si>
    <t>Total 8204 · Mantenimiento Equipos e Instala</t>
  </si>
  <si>
    <t>Fact 70 pago para abono de plantas</t>
  </si>
  <si>
    <t>Total 8205 · Mantenimiento de Jardines</t>
  </si>
  <si>
    <t>Piscinas Genesis S.A.</t>
  </si>
  <si>
    <t>Fact 35887 Compra de cloro, algatron , tricloro, reactivo, tabletas de cloro, pascon, clarificador</t>
  </si>
  <si>
    <t>Fact 36411 compra de aspiradora de 8 ruedas</t>
  </si>
  <si>
    <t>Fact 36900 Servicio de cambio de figuras en la descarga de bomba y reparacion de fuga</t>
  </si>
  <si>
    <t>Fact 37323 Compra de bicarbonato, clarificador, dicloro, Claificador, tabletas cloro</t>
  </si>
  <si>
    <t>Fact 37813 compra de clarificador , algatron preventivo</t>
  </si>
  <si>
    <t>Fact 38002 EXAMEN DE LABORATORIO3 STAPHYLOCOCCUS, quimico de agua, AUREUS, PSEUDOMAS AERUGINOSA</t>
  </si>
  <si>
    <t>Fact 38004 SERVICIO DE CAMBIO DE TUBERIA EN Y FIGURAS EN SISTEMA DE JACUZZI</t>
  </si>
  <si>
    <t>Fact 38066 TRICLORO GRANULADO AL 92 % EN 10 KILOS</t>
  </si>
  <si>
    <t>Total 8206 · Mantenimiento Piscinas</t>
  </si>
  <si>
    <t>8208 · Mantenimiento Correctivo Equipo</t>
  </si>
  <si>
    <t>Soluciones de Integracion Tecnologica INT</t>
  </si>
  <si>
    <t>$756.25 Cotizacion  para trabajos en el panel de incendio</t>
  </si>
  <si>
    <t>$80 Fact 456 reparacion de cerca electrica</t>
  </si>
  <si>
    <t>Total 8208 · Mantenimiento Correctivo Equipo</t>
  </si>
  <si>
    <t>8209 · Mtto Correctivo Portones</t>
  </si>
  <si>
    <t>Mauricio Barth Zider</t>
  </si>
  <si>
    <t>Fact 155 Servicio de mtto y reparacion de portones y accesos</t>
  </si>
  <si>
    <t>Fact 420 MANTENIMIENTO Y REPARACION DE PORTONES - Cambio Sensores , Golpe</t>
  </si>
  <si>
    <t>Total 8209 · Mtto Correctivo Portones</t>
  </si>
  <si>
    <t>Fact 390 Certificación de personería jurídica para cuentas de banco</t>
  </si>
  <si>
    <t>Fact 418 Certificacion notarial para cobro judicial porque registro publico no certifica junta</t>
  </si>
  <si>
    <t>FAct 448 Certificacion de personeria juridica</t>
  </si>
  <si>
    <t>Total 8211 · Gastos Administrativos</t>
  </si>
  <si>
    <t>Victoria Business Service Group S.A.</t>
  </si>
  <si>
    <t>$395 Fact 12 reparacion y forro de 4 unidades de muebles</t>
  </si>
  <si>
    <t>María Elena Chaves</t>
  </si>
  <si>
    <t>Fact 94 reparacion de recibidor de cerradura electrica</t>
  </si>
  <si>
    <t>Fact  84 cambio de llave principal de agua, trabajo de emergencia</t>
  </si>
  <si>
    <t>Fact 97 Poner dos adaptadores de 6v para bicicleta eliptica</t>
  </si>
  <si>
    <t>Total 8299 · Otros Gastos de Operacion</t>
  </si>
  <si>
    <t>20/05/2019</t>
  </si>
  <si>
    <t>$9200 Factura 243 Instalación de soplador de aire en condominio vistas</t>
  </si>
  <si>
    <t>Total 83 · INVERSIONES Y MEJORAS</t>
  </si>
  <si>
    <t>Total Expense</t>
  </si>
  <si>
    <t>Net Ordinary Income</t>
  </si>
  <si>
    <t>Other Income/Expense</t>
  </si>
  <si>
    <t>Other Expense</t>
  </si>
  <si>
    <t>31/01/2019</t>
  </si>
  <si>
    <t>$ 88.11  Saldo Bac Dolares Enero 31 de 2019</t>
  </si>
  <si>
    <t>28/02/2019</t>
  </si>
  <si>
    <t>Saldo Cuenta Dolares</t>
  </si>
  <si>
    <t>Saldo  BAC  San Jose</t>
  </si>
  <si>
    <t>31/03/2019</t>
  </si>
  <si>
    <t>Saldo  Cero  Cta. Scotiabank Dolares</t>
  </si>
  <si>
    <t>$ 126.46  Saldo  Bac Marzo  31  de  2019</t>
  </si>
  <si>
    <t>$ 57.377,15  Saldo  Cuenta Dolares</t>
  </si>
  <si>
    <t>$ 50.110.97  Saldo BAC  Dolares  Mayo  31 de 2019</t>
  </si>
  <si>
    <t>Ajuste saldos menores</t>
  </si>
  <si>
    <t>Total 8601 · Gastos x Diferencia en Cambio</t>
  </si>
  <si>
    <t>$2 COMISIÓN CK. OTRO BANCO</t>
  </si>
  <si>
    <t>29/01/2019</t>
  </si>
  <si>
    <t>COMISION CD SINPE</t>
  </si>
  <si>
    <t>$6 COMISION POR SALDO MINIMO</t>
  </si>
  <si>
    <t>COMISION CD SINPE 950481953</t>
  </si>
  <si>
    <t>$2 CA-31 COMISIÓN CK. OTRO BANCO COMPENSADO</t>
  </si>
  <si>
    <t>COMISION SINPE - TFO</t>
  </si>
  <si>
    <t>$0.75 COMISION SINPE - CRD</t>
  </si>
  <si>
    <t>$0.65 DEBITO X COMPRA DE DIVISAS</t>
  </si>
  <si>
    <t>22/03/2019</t>
  </si>
  <si>
    <t xml:space="preserve">DP535902249	</t>
  </si>
  <si>
    <t>$3.00 COMISION CD SINPE</t>
  </si>
  <si>
    <t>Total 8602 · Gastos Bancarios</t>
  </si>
  <si>
    <t>8604 · Otros Gastos No Operacionales</t>
  </si>
  <si>
    <t>Total 8604 · Otros Gastos No Operacionales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</si>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</sst>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0.00_)"/>
    <numFmt numFmtId="167" formatCode="[$₡-140A]#,##0.00_ ;\-[$₡-140A]#,##0.00\ "/>
    <numFmt numFmtId="168" formatCode="#,##0.00_ ;\-#,##0.00\ "/>
    <numFmt numFmtId="169" formatCode="mm/dd/yyyy"/>
    <numFmt numFmtId="170" formatCode="_-[$₡-140A]* #,##0.00_ ;_-[$₡-140A]* \-#,##0.00\ ;_-[$₡-140A]* &quot;-&quot;??_ ;_-@_ "/>
    <numFmt numFmtId="171" formatCode="_-[$$-C09]* #,##0.00_-;\-[$$-C09]* #,##0.00_-;_-[$$-C09]* &quot;-&quot;??_-;_-@_-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sz val="12"/>
      <name val="Helv"/>
    </font>
    <font>
      <b/>
      <i/>
      <sz val="14"/>
      <name val="Helv"/>
    </font>
    <font>
      <sz val="9"/>
      <name val="Helv"/>
    </font>
    <font>
      <b/>
      <sz val="9"/>
      <name val="Helv"/>
    </font>
    <font>
      <b/>
      <sz val="9"/>
      <name val="Arial Narrow"/>
      <family val="2"/>
    </font>
    <font>
      <sz val="9"/>
      <name val="Arial"/>
      <family val="2"/>
    </font>
    <font>
      <sz val="9"/>
      <name val="Arial Black"/>
      <family val="2"/>
    </font>
    <font>
      <sz val="8"/>
      <name val="Helv"/>
    </font>
    <font>
      <b/>
      <sz val="9"/>
      <name val="Haettenschweiler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2"/>
      <name val="Helv"/>
    </font>
    <font>
      <b/>
      <sz val="8"/>
      <name val="Arial"/>
      <family val="2"/>
    </font>
    <font>
      <b/>
      <i/>
      <sz val="8"/>
      <color rgb="FF000000"/>
      <name val="Arial"/>
      <family val="2"/>
    </font>
    <font>
      <b/>
      <i/>
      <sz val="9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8"/>
      <name val="Helv"/>
    </font>
    <font>
      <b/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1">
    <xf numFmtId="0" fontId="0" fillId="0" borderId="0"/>
    <xf numFmtId="43" fontId="43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165" fontId="50" fillId="0" borderId="0"/>
    <xf numFmtId="43" fontId="5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0" fontId="30" fillId="0" borderId="0"/>
    <xf numFmtId="0" fontId="29" fillId="0" borderId="0"/>
    <xf numFmtId="0" fontId="28" fillId="0" borderId="0"/>
    <xf numFmtId="43" fontId="28" fillId="0" borderId="0" applyFont="0" applyFill="0" applyBorder="0" applyAlignment="0" applyProtection="0"/>
    <xf numFmtId="0" fontId="43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horizontal="center"/>
    </xf>
    <xf numFmtId="0" fontId="44" fillId="0" borderId="0" xfId="0" applyNumberFormat="1" applyFont="1"/>
    <xf numFmtId="0" fontId="0" fillId="0" borderId="0" xfId="0" applyNumberFormat="1"/>
    <xf numFmtId="43" fontId="0" fillId="0" borderId="0" xfId="1" applyFont="1"/>
    <xf numFmtId="165" fontId="50" fillId="5" borderId="0" xfId="12" applyFill="1"/>
    <xf numFmtId="165" fontId="50" fillId="5" borderId="0" xfId="12" applyFont="1" applyFill="1"/>
    <xf numFmtId="165" fontId="49" fillId="5" borderId="0" xfId="12" applyFont="1" applyFill="1" applyBorder="1" applyAlignment="1" applyProtection="1">
      <alignment horizontal="left"/>
    </xf>
    <xf numFmtId="165" fontId="49" fillId="5" borderId="0" xfId="12" applyFont="1" applyFill="1" applyBorder="1"/>
    <xf numFmtId="165" fontId="53" fillId="5" borderId="0" xfId="12" applyFont="1" applyFill="1" applyBorder="1"/>
    <xf numFmtId="165" fontId="52" fillId="5" borderId="0" xfId="12" applyFont="1" applyFill="1" applyBorder="1"/>
    <xf numFmtId="49" fontId="49" fillId="8" borderId="12" xfId="12" applyNumberFormat="1" applyFont="1" applyFill="1" applyBorder="1" applyAlignment="1" applyProtection="1">
      <alignment horizontal="center" vertical="center"/>
    </xf>
    <xf numFmtId="49" fontId="54" fillId="5" borderId="0" xfId="12" applyNumberFormat="1" applyFont="1" applyFill="1" applyBorder="1" applyAlignment="1" applyProtection="1">
      <alignment horizontal="center" vertical="center"/>
    </xf>
    <xf numFmtId="165" fontId="49" fillId="5" borderId="0" xfId="12" applyFont="1" applyFill="1" applyBorder="1" applyAlignment="1" applyProtection="1">
      <alignment horizontal="center"/>
    </xf>
    <xf numFmtId="165" fontId="49" fillId="3" borderId="12" xfId="12" applyFont="1" applyFill="1" applyBorder="1" applyAlignment="1" applyProtection="1">
      <alignment horizontal="center" vertical="center"/>
    </xf>
    <xf numFmtId="39" fontId="49" fillId="3" borderId="12" xfId="12" applyNumberFormat="1" applyFont="1" applyFill="1" applyBorder="1" applyAlignment="1" applyProtection="1">
      <alignment horizontal="center"/>
    </xf>
    <xf numFmtId="4" fontId="49" fillId="5" borderId="0" xfId="12" applyNumberFormat="1" applyFont="1" applyFill="1" applyBorder="1" applyProtection="1"/>
    <xf numFmtId="39" fontId="54" fillId="5" borderId="0" xfId="12" applyNumberFormat="1" applyFont="1" applyFill="1" applyBorder="1" applyProtection="1"/>
    <xf numFmtId="39" fontId="55" fillId="5" borderId="0" xfId="12" applyNumberFormat="1" applyFont="1" applyFill="1" applyBorder="1" applyProtection="1"/>
    <xf numFmtId="39" fontId="49" fillId="5" borderId="0" xfId="12" applyNumberFormat="1" applyFont="1" applyFill="1" applyBorder="1" applyProtection="1"/>
    <xf numFmtId="39" fontId="50" fillId="5" borderId="0" xfId="12" applyNumberFormat="1" applyFill="1" applyProtection="1"/>
    <xf numFmtId="166" fontId="50" fillId="5" borderId="0" xfId="12" applyNumberFormat="1" applyFill="1" applyProtection="1"/>
    <xf numFmtId="165" fontId="49" fillId="8" borderId="13" xfId="12" applyFont="1" applyFill="1" applyBorder="1" applyAlignment="1" applyProtection="1">
      <alignment horizontal="center" vertical="center"/>
    </xf>
    <xf numFmtId="39" fontId="49" fillId="8" borderId="12" xfId="12" applyNumberFormat="1" applyFont="1" applyFill="1" applyBorder="1" applyProtection="1"/>
    <xf numFmtId="165" fontId="49" fillId="3" borderId="13" xfId="12" applyFont="1" applyFill="1" applyBorder="1" applyAlignment="1" applyProtection="1">
      <alignment horizontal="center" vertical="center"/>
    </xf>
    <xf numFmtId="39" fontId="49" fillId="3" borderId="13" xfId="12" applyNumberFormat="1" applyFont="1" applyFill="1" applyBorder="1" applyProtection="1"/>
    <xf numFmtId="39" fontId="59" fillId="8" borderId="12" xfId="12" applyNumberFormat="1" applyFont="1" applyFill="1" applyBorder="1" applyProtection="1"/>
    <xf numFmtId="39" fontId="59" fillId="8" borderId="13" xfId="12" applyNumberFormat="1" applyFont="1" applyFill="1" applyBorder="1" applyProtection="1"/>
    <xf numFmtId="43" fontId="0" fillId="5" borderId="0" xfId="13" applyFont="1" applyFill="1"/>
    <xf numFmtId="165" fontId="52" fillId="5" borderId="1" xfId="12" applyFont="1" applyFill="1" applyBorder="1"/>
    <xf numFmtId="4" fontId="49" fillId="5" borderId="0" xfId="12" applyNumberFormat="1" applyFont="1" applyFill="1" applyBorder="1" applyAlignment="1" applyProtection="1">
      <alignment horizontal="right"/>
    </xf>
    <xf numFmtId="165" fontId="50" fillId="5" borderId="0" xfId="12" applyFill="1" applyBorder="1"/>
    <xf numFmtId="39" fontId="52" fillId="5" borderId="0" xfId="12" applyNumberFormat="1" applyFont="1" applyFill="1" applyBorder="1" applyProtection="1"/>
    <xf numFmtId="165" fontId="60" fillId="5" borderId="1" xfId="12" applyFont="1" applyFill="1" applyBorder="1"/>
    <xf numFmtId="165" fontId="62" fillId="5" borderId="0" xfId="12" applyFont="1" applyFill="1" applyBorder="1" applyAlignment="1">
      <alignment horizontal="center"/>
    </xf>
    <xf numFmtId="39" fontId="61" fillId="5" borderId="0" xfId="12" applyNumberFormat="1" applyFont="1" applyFill="1" applyBorder="1" applyAlignment="1" applyProtection="1">
      <alignment horizontal="left"/>
    </xf>
    <xf numFmtId="39" fontId="61" fillId="5" borderId="0" xfId="12" applyNumberFormat="1" applyFont="1" applyFill="1" applyBorder="1" applyProtection="1"/>
    <xf numFmtId="43" fontId="50" fillId="5" borderId="0" xfId="1" applyFont="1" applyFill="1"/>
    <xf numFmtId="43" fontId="50" fillId="5" borderId="0" xfId="1" applyFont="1" applyFill="1" applyProtection="1"/>
    <xf numFmtId="43" fontId="43" fillId="0" borderId="0" xfId="1" applyFont="1"/>
    <xf numFmtId="4" fontId="49" fillId="5" borderId="0" xfId="12" applyNumberFormat="1" applyFont="1" applyFill="1" applyBorder="1"/>
    <xf numFmtId="165" fontId="52" fillId="5" borderId="5" xfId="12" applyFont="1" applyFill="1" applyBorder="1"/>
    <xf numFmtId="165" fontId="52" fillId="5" borderId="6" xfId="12" applyFont="1" applyFill="1" applyBorder="1"/>
    <xf numFmtId="165" fontId="55" fillId="5" borderId="0" xfId="12" applyFont="1" applyFill="1" applyBorder="1"/>
    <xf numFmtId="165" fontId="53" fillId="5" borderId="0" xfId="12" applyFont="1" applyFill="1" applyBorder="1" applyAlignment="1" applyProtection="1">
      <alignment horizontal="left"/>
    </xf>
    <xf numFmtId="165" fontId="56" fillId="5" borderId="0" xfId="12" applyFont="1" applyFill="1" applyBorder="1"/>
    <xf numFmtId="165" fontId="52" fillId="5" borderId="7" xfId="12" applyFont="1" applyFill="1" applyBorder="1"/>
    <xf numFmtId="43" fontId="52" fillId="5" borderId="0" xfId="13" applyFont="1" applyFill="1" applyBorder="1"/>
    <xf numFmtId="165" fontId="54" fillId="5" borderId="0" xfId="12" applyFont="1" applyFill="1" applyBorder="1"/>
    <xf numFmtId="39" fontId="54" fillId="5" borderId="0" xfId="12" applyNumberFormat="1" applyFont="1" applyFill="1" applyBorder="1" applyAlignment="1" applyProtection="1">
      <alignment horizontal="right"/>
    </xf>
    <xf numFmtId="165" fontId="58" fillId="5" borderId="0" xfId="12" applyFont="1" applyFill="1" applyBorder="1"/>
    <xf numFmtId="165" fontId="49" fillId="5" borderId="0" xfId="12" applyFont="1" applyFill="1" applyBorder="1" applyAlignment="1">
      <alignment horizontal="right"/>
    </xf>
    <xf numFmtId="165" fontId="50" fillId="5" borderId="5" xfId="12" applyFill="1" applyBorder="1"/>
    <xf numFmtId="165" fontId="50" fillId="5" borderId="6" xfId="12" applyFill="1" applyBorder="1"/>
    <xf numFmtId="165" fontId="50" fillId="5" borderId="8" xfId="12" applyFill="1" applyBorder="1"/>
    <xf numFmtId="165" fontId="61" fillId="5" borderId="1" xfId="12" applyFont="1" applyFill="1" applyBorder="1" applyAlignment="1" applyProtection="1">
      <alignment horizontal="left"/>
    </xf>
    <xf numFmtId="165" fontId="61" fillId="5" borderId="1" xfId="12" applyFont="1" applyFill="1" applyBorder="1"/>
    <xf numFmtId="165" fontId="62" fillId="5" borderId="1" xfId="12" applyFont="1" applyFill="1" applyBorder="1" applyAlignment="1">
      <alignment horizontal="center"/>
    </xf>
    <xf numFmtId="39" fontId="61" fillId="5" borderId="1" xfId="12" applyNumberFormat="1" applyFont="1" applyFill="1" applyBorder="1" applyAlignment="1" applyProtection="1">
      <alignment horizontal="left"/>
    </xf>
    <xf numFmtId="39" fontId="61" fillId="5" borderId="1" xfId="12" applyNumberFormat="1" applyFont="1" applyFill="1" applyBorder="1" applyProtection="1"/>
    <xf numFmtId="165" fontId="50" fillId="5" borderId="7" xfId="12" applyFill="1" applyBorder="1"/>
    <xf numFmtId="165" fontId="49" fillId="8" borderId="14" xfId="12" applyFont="1" applyFill="1" applyBorder="1" applyAlignment="1" applyProtection="1">
      <alignment horizontal="center"/>
    </xf>
    <xf numFmtId="165" fontId="52" fillId="5" borderId="8" xfId="12" applyFont="1" applyFill="1" applyBorder="1"/>
    <xf numFmtId="165" fontId="54" fillId="5" borderId="1" xfId="12" applyFont="1" applyFill="1" applyBorder="1"/>
    <xf numFmtId="165" fontId="58" fillId="5" borderId="1" xfId="12" applyFont="1" applyFill="1" applyBorder="1"/>
    <xf numFmtId="39" fontId="54" fillId="5" borderId="1" xfId="12" applyNumberFormat="1" applyFont="1" applyFill="1" applyBorder="1" applyAlignment="1" applyProtection="1">
      <alignment horizontal="right"/>
    </xf>
    <xf numFmtId="165" fontId="53" fillId="5" borderId="1" xfId="12" applyFont="1" applyFill="1" applyBorder="1"/>
    <xf numFmtId="43" fontId="59" fillId="5" borderId="0" xfId="1" applyFont="1" applyFill="1" applyBorder="1"/>
    <xf numFmtId="49" fontId="47" fillId="0" borderId="0" xfId="0" applyNumberFormat="1" applyFont="1" applyBorder="1"/>
    <xf numFmtId="165" fontId="49" fillId="8" borderId="11" xfId="12" applyFont="1" applyFill="1" applyBorder="1" applyAlignment="1" applyProtection="1">
      <alignment horizontal="center"/>
    </xf>
    <xf numFmtId="168" fontId="43" fillId="0" borderId="0" xfId="0" applyNumberFormat="1" applyFont="1"/>
    <xf numFmtId="165" fontId="49" fillId="8" borderId="11" xfId="12" applyFont="1" applyFill="1" applyBorder="1" applyAlignment="1" applyProtection="1">
      <alignment horizontal="center" vertical="center"/>
    </xf>
    <xf numFmtId="43" fontId="43" fillId="5" borderId="0" xfId="13" applyFont="1" applyFill="1"/>
    <xf numFmtId="43" fontId="0" fillId="0" borderId="0" xfId="1" applyFont="1" applyBorder="1"/>
    <xf numFmtId="49" fontId="48" fillId="0" borderId="0" xfId="30" applyNumberFormat="1" applyFont="1" applyBorder="1"/>
    <xf numFmtId="0" fontId="27" fillId="0" borderId="0" xfId="31"/>
    <xf numFmtId="0" fontId="27" fillId="0" borderId="0" xfId="31" applyNumberFormat="1"/>
    <xf numFmtId="39" fontId="47" fillId="0" borderId="0" xfId="0" applyNumberFormat="1" applyFont="1"/>
    <xf numFmtId="39" fontId="47" fillId="0" borderId="0" xfId="0" applyNumberFormat="1" applyFont="1" applyBorder="1"/>
    <xf numFmtId="43" fontId="0" fillId="0" borderId="0" xfId="0" applyNumberFormat="1"/>
    <xf numFmtId="39" fontId="63" fillId="7" borderId="4" xfId="0" applyNumberFormat="1" applyFont="1" applyFill="1" applyBorder="1"/>
    <xf numFmtId="165" fontId="49" fillId="11" borderId="0" xfId="12" applyFont="1" applyFill="1" applyBorder="1" applyAlignment="1" applyProtection="1">
      <alignment horizontal="center" vertical="center"/>
    </xf>
    <xf numFmtId="43" fontId="45" fillId="0" borderId="0" xfId="1" applyFont="1" applyBorder="1"/>
    <xf numFmtId="39" fontId="67" fillId="0" borderId="0" xfId="0" applyNumberFormat="1" applyFont="1" applyBorder="1"/>
    <xf numFmtId="168" fontId="0" fillId="0" borderId="0" xfId="0" applyNumberFormat="1"/>
    <xf numFmtId="39" fontId="67" fillId="0" borderId="0" xfId="0" applyNumberFormat="1" applyFont="1"/>
    <xf numFmtId="39" fontId="45" fillId="0" borderId="0" xfId="0" applyNumberFormat="1" applyFont="1" applyFill="1" applyBorder="1"/>
    <xf numFmtId="0" fontId="69" fillId="0" borderId="5" xfId="0" applyNumberFormat="1" applyFont="1" applyBorder="1"/>
    <xf numFmtId="0" fontId="55" fillId="0" borderId="0" xfId="0" applyNumberFormat="1" applyFont="1" applyBorder="1"/>
    <xf numFmtId="0" fontId="55" fillId="0" borderId="6" xfId="0" applyNumberFormat="1" applyFont="1" applyBorder="1"/>
    <xf numFmtId="49" fontId="64" fillId="4" borderId="3" xfId="0" applyNumberFormat="1" applyFont="1" applyFill="1" applyBorder="1"/>
    <xf numFmtId="49" fontId="70" fillId="0" borderId="3" xfId="0" applyNumberFormat="1" applyFont="1" applyBorder="1"/>
    <xf numFmtId="49" fontId="64" fillId="12" borderId="3" xfId="0" applyNumberFormat="1" applyFont="1" applyFill="1" applyBorder="1"/>
    <xf numFmtId="37" fontId="64" fillId="12" borderId="2" xfId="0" applyNumberFormat="1" applyFont="1" applyFill="1" applyBorder="1"/>
    <xf numFmtId="49" fontId="45" fillId="0" borderId="0" xfId="0" applyNumberFormat="1" applyFont="1" applyBorder="1"/>
    <xf numFmtId="43" fontId="44" fillId="6" borderId="3" xfId="1" applyFont="1" applyFill="1" applyBorder="1" applyAlignment="1">
      <alignment horizontal="center"/>
    </xf>
    <xf numFmtId="43" fontId="44" fillId="6" borderId="2" xfId="1" applyFont="1" applyFill="1" applyBorder="1" applyAlignment="1">
      <alignment horizontal="center"/>
    </xf>
    <xf numFmtId="43" fontId="46" fillId="6" borderId="4" xfId="1" applyFont="1" applyFill="1" applyBorder="1" applyAlignment="1">
      <alignment horizontal="center"/>
    </xf>
    <xf numFmtId="43" fontId="64" fillId="4" borderId="4" xfId="1" applyFont="1" applyFill="1" applyBorder="1"/>
    <xf numFmtId="43" fontId="64" fillId="4" borderId="2" xfId="1" applyFont="1" applyFill="1" applyBorder="1"/>
    <xf numFmtId="39" fontId="43" fillId="0" borderId="0" xfId="0" applyNumberFormat="1" applyFont="1"/>
    <xf numFmtId="49" fontId="68" fillId="0" borderId="0" xfId="0" applyNumberFormat="1" applyFont="1" applyBorder="1"/>
    <xf numFmtId="49" fontId="47" fillId="0" borderId="0" xfId="30" applyNumberFormat="1" applyFont="1" applyBorder="1"/>
    <xf numFmtId="43" fontId="45" fillId="5" borderId="0" xfId="1" applyFont="1" applyFill="1" applyBorder="1"/>
    <xf numFmtId="39" fontId="49" fillId="11" borderId="0" xfId="12" applyNumberFormat="1" applyFont="1" applyFill="1" applyBorder="1" applyProtection="1"/>
    <xf numFmtId="165" fontId="62" fillId="5" borderId="0" xfId="12" applyFont="1" applyFill="1" applyBorder="1" applyAlignment="1" applyProtection="1">
      <alignment horizontal="left"/>
    </xf>
    <xf numFmtId="165" fontId="45" fillId="5" borderId="0" xfId="12" applyFont="1" applyFill="1" applyBorder="1" applyAlignment="1" applyProtection="1">
      <alignment horizontal="left"/>
    </xf>
    <xf numFmtId="165" fontId="71" fillId="5" borderId="0" xfId="12" applyFont="1" applyFill="1" applyBorder="1"/>
    <xf numFmtId="43" fontId="45" fillId="5" borderId="1" xfId="1" applyFont="1" applyFill="1" applyBorder="1"/>
    <xf numFmtId="43" fontId="53" fillId="5" borderId="0" xfId="1" applyFont="1" applyFill="1" applyBorder="1"/>
    <xf numFmtId="43" fontId="52" fillId="5" borderId="0" xfId="1" applyFont="1" applyFill="1" applyBorder="1"/>
    <xf numFmtId="43" fontId="55" fillId="5" borderId="0" xfId="1" applyFont="1" applyFill="1" applyBorder="1"/>
    <xf numFmtId="43" fontId="47" fillId="0" borderId="0" xfId="1" applyFont="1" applyBorder="1"/>
    <xf numFmtId="43" fontId="50" fillId="5" borderId="0" xfId="1" applyFont="1" applyFill="1" applyBorder="1"/>
    <xf numFmtId="43" fontId="54" fillId="5" borderId="0" xfId="1" applyFont="1" applyFill="1" applyBorder="1"/>
    <xf numFmtId="43" fontId="54" fillId="5" borderId="1" xfId="1" applyFont="1" applyFill="1" applyBorder="1"/>
    <xf numFmtId="43" fontId="45" fillId="0" borderId="1" xfId="1" applyFont="1" applyBorder="1"/>
    <xf numFmtId="43" fontId="61" fillId="5" borderId="0" xfId="1" applyFont="1" applyFill="1" applyBorder="1"/>
    <xf numFmtId="43" fontId="61" fillId="5" borderId="1" xfId="1" applyFont="1" applyFill="1" applyBorder="1"/>
    <xf numFmtId="165" fontId="49" fillId="5" borderId="9" xfId="12" applyFont="1" applyFill="1" applyBorder="1"/>
    <xf numFmtId="43" fontId="53" fillId="5" borderId="9" xfId="1" applyFont="1" applyFill="1" applyBorder="1"/>
    <xf numFmtId="165" fontId="53" fillId="5" borderId="9" xfId="12" applyFont="1" applyFill="1" applyBorder="1"/>
    <xf numFmtId="165" fontId="52" fillId="5" borderId="9" xfId="12" applyFont="1" applyFill="1" applyBorder="1"/>
    <xf numFmtId="165" fontId="52" fillId="5" borderId="15" xfId="12" applyFont="1" applyFill="1" applyBorder="1"/>
    <xf numFmtId="43" fontId="68" fillId="0" borderId="0" xfId="1" applyFont="1" applyBorder="1"/>
    <xf numFmtId="49" fontId="67" fillId="0" borderId="0" xfId="0" applyNumberFormat="1" applyFont="1" applyBorder="1"/>
    <xf numFmtId="43" fontId="67" fillId="0" borderId="0" xfId="1" applyFont="1" applyBorder="1"/>
    <xf numFmtId="165" fontId="57" fillId="5" borderId="0" xfId="12" applyFont="1" applyFill="1" applyBorder="1"/>
    <xf numFmtId="165" fontId="52" fillId="5" borderId="10" xfId="12" applyFont="1" applyFill="1" applyBorder="1"/>
    <xf numFmtId="165" fontId="49" fillId="5" borderId="9" xfId="12" applyFont="1" applyFill="1" applyBorder="1" applyAlignment="1" applyProtection="1">
      <alignment horizontal="left"/>
    </xf>
    <xf numFmtId="49" fontId="0" fillId="0" borderId="0" xfId="0" applyNumberFormat="1" applyBorder="1"/>
    <xf numFmtId="0" fontId="43" fillId="0" borderId="0" xfId="0" applyNumberFormat="1" applyFont="1"/>
    <xf numFmtId="0" fontId="27" fillId="0" borderId="0" xfId="31" applyNumberFormat="1" applyAlignment="1">
      <alignment horizontal="center"/>
    </xf>
    <xf numFmtId="49" fontId="67" fillId="0" borderId="0" xfId="0" applyNumberFormat="1" applyFont="1"/>
    <xf numFmtId="167" fontId="72" fillId="12" borderId="4" xfId="1" applyNumberFormat="1" applyFont="1" applyFill="1" applyBorder="1"/>
    <xf numFmtId="49" fontId="43" fillId="0" borderId="0" xfId="0" applyNumberFormat="1" applyFont="1" applyBorder="1"/>
    <xf numFmtId="0" fontId="6" fillId="0" borderId="0" xfId="56"/>
    <xf numFmtId="41" fontId="74" fillId="13" borderId="0" xfId="57" applyFont="1" applyFill="1" applyAlignment="1">
      <alignment horizontal="center" vertical="center" wrapText="1"/>
    </xf>
    <xf numFmtId="0" fontId="6" fillId="13" borderId="0" xfId="56" applyFill="1"/>
    <xf numFmtId="41" fontId="0" fillId="14" borderId="7" xfId="57" applyFont="1" applyFill="1" applyBorder="1"/>
    <xf numFmtId="41" fontId="0" fillId="14" borderId="1" xfId="57" applyFont="1" applyFill="1" applyBorder="1"/>
    <xf numFmtId="0" fontId="6" fillId="14" borderId="1" xfId="56" applyFill="1" applyBorder="1"/>
    <xf numFmtId="0" fontId="6" fillId="0" borderId="1" xfId="56" applyBorder="1"/>
    <xf numFmtId="0" fontId="6" fillId="0" borderId="8" xfId="56" applyBorder="1"/>
    <xf numFmtId="41" fontId="0" fillId="0" borderId="6" xfId="57" applyFont="1" applyBorder="1"/>
    <xf numFmtId="0" fontId="6" fillId="0" borderId="0" xfId="56" applyBorder="1"/>
    <xf numFmtId="0" fontId="6" fillId="0" borderId="5" xfId="56" applyBorder="1"/>
    <xf numFmtId="41" fontId="0" fillId="0" borderId="0" xfId="57" applyFont="1" applyBorder="1"/>
    <xf numFmtId="0" fontId="73" fillId="10" borderId="6" xfId="56" applyFont="1" applyFill="1" applyBorder="1" applyAlignment="1">
      <alignment horizontal="center" vertical="center"/>
    </xf>
    <xf numFmtId="0" fontId="73" fillId="10" borderId="0" xfId="56" applyFont="1" applyFill="1" applyBorder="1" applyAlignment="1">
      <alignment horizontal="center" vertical="center" wrapText="1"/>
    </xf>
    <xf numFmtId="0" fontId="73" fillId="10" borderId="0" xfId="56" applyFont="1" applyFill="1" applyBorder="1" applyAlignment="1">
      <alignment horizontal="center" vertical="center"/>
    </xf>
    <xf numFmtId="0" fontId="73" fillId="10" borderId="5" xfId="56" applyFont="1" applyFill="1" applyBorder="1" applyAlignment="1">
      <alignment horizontal="center" vertical="center"/>
    </xf>
    <xf numFmtId="0" fontId="6" fillId="0" borderId="0" xfId="56" applyFill="1"/>
    <xf numFmtId="41" fontId="0" fillId="13" borderId="0" xfId="57" applyFont="1" applyFill="1"/>
    <xf numFmtId="0" fontId="6" fillId="13" borderId="0" xfId="56" applyFill="1" applyAlignment="1">
      <alignment wrapText="1"/>
    </xf>
    <xf numFmtId="41" fontId="0" fillId="0" borderId="0" xfId="57" applyFont="1"/>
    <xf numFmtId="41" fontId="0" fillId="14" borderId="0" xfId="57" applyFont="1" applyFill="1"/>
    <xf numFmtId="0" fontId="6" fillId="14" borderId="0" xfId="56" applyFill="1"/>
    <xf numFmtId="0" fontId="6" fillId="0" borderId="12" xfId="56" applyBorder="1"/>
    <xf numFmtId="4" fontId="6" fillId="0" borderId="12" xfId="56" applyNumberFormat="1" applyBorder="1"/>
    <xf numFmtId="9" fontId="6" fillId="0" borderId="12" xfId="56" applyNumberFormat="1" applyBorder="1"/>
    <xf numFmtId="9" fontId="0" fillId="0" borderId="12" xfId="58" applyFont="1" applyBorder="1"/>
    <xf numFmtId="43" fontId="6" fillId="0" borderId="12" xfId="1" applyFont="1" applyBorder="1"/>
    <xf numFmtId="0" fontId="6" fillId="7" borderId="3" xfId="56" applyFill="1" applyBorder="1" applyAlignment="1">
      <alignment horizontal="center"/>
    </xf>
    <xf numFmtId="17" fontId="6" fillId="7" borderId="4" xfId="56" applyNumberFormat="1" applyFill="1" applyBorder="1"/>
    <xf numFmtId="167" fontId="0" fillId="0" borderId="0" xfId="0" applyNumberFormat="1"/>
    <xf numFmtId="49" fontId="5" fillId="0" borderId="0" xfId="59" applyNumberFormat="1" applyAlignment="1">
      <alignment horizontal="center"/>
    </xf>
    <xf numFmtId="49" fontId="63" fillId="7" borderId="3" xfId="59" applyNumberFormat="1" applyFont="1" applyFill="1" applyBorder="1" applyAlignment="1">
      <alignment horizontal="center"/>
    </xf>
    <xf numFmtId="49" fontId="63" fillId="7" borderId="2" xfId="59" applyNumberFormat="1" applyFont="1" applyFill="1" applyBorder="1" applyAlignment="1">
      <alignment horizontal="center"/>
    </xf>
    <xf numFmtId="49" fontId="63" fillId="7" borderId="4" xfId="59" applyNumberFormat="1" applyFont="1" applyFill="1" applyBorder="1" applyAlignment="1">
      <alignment horizontal="center"/>
    </xf>
    <xf numFmtId="0" fontId="5" fillId="0" borderId="0" xfId="59" applyAlignment="1">
      <alignment horizontal="center"/>
    </xf>
    <xf numFmtId="49" fontId="48" fillId="0" borderId="0" xfId="59" applyNumberFormat="1" applyFont="1"/>
    <xf numFmtId="0" fontId="5" fillId="0" borderId="0" xfId="59"/>
    <xf numFmtId="49" fontId="48" fillId="0" borderId="5" xfId="59" applyNumberFormat="1" applyFont="1" applyBorder="1"/>
    <xf numFmtId="169" fontId="48" fillId="0" borderId="0" xfId="59" applyNumberFormat="1" applyFont="1" applyBorder="1" applyAlignment="1">
      <alignment horizontal="center"/>
    </xf>
    <xf numFmtId="49" fontId="48" fillId="0" borderId="0" xfId="59" applyNumberFormat="1" applyFont="1" applyBorder="1"/>
    <xf numFmtId="39" fontId="48" fillId="0" borderId="0" xfId="59" applyNumberFormat="1" applyFont="1" applyBorder="1"/>
    <xf numFmtId="39" fontId="48" fillId="0" borderId="6" xfId="59" applyNumberFormat="1" applyFont="1" applyBorder="1"/>
    <xf numFmtId="39" fontId="5" fillId="0" borderId="0" xfId="59" applyNumberFormat="1"/>
    <xf numFmtId="39" fontId="47" fillId="0" borderId="0" xfId="59" applyNumberFormat="1" applyFont="1" applyBorder="1"/>
    <xf numFmtId="49" fontId="47" fillId="0" borderId="0" xfId="59" applyNumberFormat="1" applyFont="1"/>
    <xf numFmtId="49" fontId="63" fillId="7" borderId="3" xfId="59" applyNumberFormat="1" applyFont="1" applyFill="1" applyBorder="1"/>
    <xf numFmtId="169" fontId="63" fillId="7" borderId="2" xfId="59" applyNumberFormat="1" applyFont="1" applyFill="1" applyBorder="1" applyAlignment="1">
      <alignment horizontal="center"/>
    </xf>
    <xf numFmtId="49" fontId="63" fillId="7" borderId="2" xfId="59" applyNumberFormat="1" applyFont="1" applyFill="1" applyBorder="1"/>
    <xf numFmtId="39" fontId="63" fillId="7" borderId="2" xfId="59" applyNumberFormat="1" applyFont="1" applyFill="1" applyBorder="1"/>
    <xf numFmtId="39" fontId="63" fillId="7" borderId="4" xfId="59" applyNumberFormat="1" applyFont="1" applyFill="1" applyBorder="1"/>
    <xf numFmtId="0" fontId="5" fillId="0" borderId="0" xfId="59" applyNumberFormat="1"/>
    <xf numFmtId="0" fontId="5" fillId="0" borderId="5" xfId="59" applyNumberFormat="1" applyBorder="1"/>
    <xf numFmtId="0" fontId="5" fillId="0" borderId="0" xfId="59" applyNumberFormat="1" applyBorder="1" applyAlignment="1">
      <alignment horizontal="center"/>
    </xf>
    <xf numFmtId="0" fontId="5" fillId="0" borderId="0" xfId="59" applyNumberFormat="1" applyBorder="1"/>
    <xf numFmtId="0" fontId="5" fillId="0" borderId="6" xfId="59" applyNumberFormat="1" applyBorder="1"/>
    <xf numFmtId="0" fontId="77" fillId="7" borderId="3" xfId="59" applyNumberFormat="1" applyFont="1" applyFill="1" applyBorder="1" applyAlignment="1">
      <alignment horizontal="center"/>
    </xf>
    <xf numFmtId="0" fontId="77" fillId="7" borderId="4" xfId="59" applyNumberFormat="1" applyFont="1" applyFill="1" applyBorder="1" applyAlignment="1">
      <alignment horizontal="center"/>
    </xf>
    <xf numFmtId="170" fontId="76" fillId="0" borderId="0" xfId="60" applyNumberFormat="1" applyFont="1" applyBorder="1"/>
    <xf numFmtId="0" fontId="65" fillId="7" borderId="3" xfId="59" applyNumberFormat="1" applyFont="1" applyFill="1" applyBorder="1"/>
    <xf numFmtId="170" fontId="76" fillId="7" borderId="2" xfId="59" applyNumberFormat="1" applyFont="1" applyFill="1" applyBorder="1"/>
    <xf numFmtId="170" fontId="76" fillId="7" borderId="4" xfId="59" applyNumberFormat="1" applyFont="1" applyFill="1" applyBorder="1"/>
    <xf numFmtId="0" fontId="5" fillId="0" borderId="1" xfId="59" applyNumberFormat="1" applyBorder="1"/>
    <xf numFmtId="0" fontId="77" fillId="0" borderId="0" xfId="59" applyNumberFormat="1" applyFont="1" applyBorder="1"/>
    <xf numFmtId="0" fontId="5" fillId="0" borderId="8" xfId="59" applyNumberFormat="1" applyBorder="1"/>
    <xf numFmtId="0" fontId="5" fillId="0" borderId="1" xfId="59" applyNumberFormat="1" applyBorder="1" applyAlignment="1">
      <alignment horizontal="center"/>
    </xf>
    <xf numFmtId="0" fontId="5" fillId="0" borderId="7" xfId="59" applyNumberFormat="1" applyBorder="1"/>
    <xf numFmtId="0" fontId="5" fillId="0" borderId="0" xfId="59" applyNumberFormat="1" applyAlignment="1">
      <alignment horizontal="center"/>
    </xf>
    <xf numFmtId="170" fontId="5" fillId="0" borderId="0" xfId="59" applyNumberFormat="1"/>
    <xf numFmtId="39" fontId="47" fillId="0" borderId="6" xfId="59" applyNumberFormat="1" applyFont="1" applyBorder="1"/>
    <xf numFmtId="43" fontId="0" fillId="0" borderId="0" xfId="60" applyFont="1"/>
    <xf numFmtId="0" fontId="67" fillId="0" borderId="0" xfId="59" applyNumberFormat="1" applyFont="1" applyBorder="1"/>
    <xf numFmtId="0" fontId="76" fillId="7" borderId="3" xfId="59" applyNumberFormat="1" applyFont="1" applyFill="1" applyBorder="1" applyAlignment="1">
      <alignment horizontal="center"/>
    </xf>
    <xf numFmtId="0" fontId="76" fillId="7" borderId="4" xfId="59" applyNumberFormat="1" applyFont="1" applyFill="1" applyBorder="1" applyAlignment="1">
      <alignment horizontal="center"/>
    </xf>
    <xf numFmtId="171" fontId="76" fillId="0" borderId="0" xfId="60" applyNumberFormat="1" applyFont="1" applyBorder="1"/>
    <xf numFmtId="0" fontId="76" fillId="7" borderId="3" xfId="59" applyNumberFormat="1" applyFont="1" applyFill="1" applyBorder="1"/>
    <xf numFmtId="171" fontId="76" fillId="7" borderId="2" xfId="59" applyNumberFormat="1" applyFont="1" applyFill="1" applyBorder="1"/>
    <xf numFmtId="171" fontId="76" fillId="7" borderId="4" xfId="59" applyNumberFormat="1" applyFont="1" applyFill="1" applyBorder="1"/>
    <xf numFmtId="0" fontId="77" fillId="7" borderId="3" xfId="59" applyNumberFormat="1" applyFont="1" applyFill="1" applyBorder="1"/>
    <xf numFmtId="0" fontId="77" fillId="7" borderId="2" xfId="59" applyNumberFormat="1" applyFont="1" applyFill="1" applyBorder="1"/>
    <xf numFmtId="170" fontId="77" fillId="7" borderId="4" xfId="60" applyNumberFormat="1" applyFont="1" applyFill="1" applyBorder="1"/>
    <xf numFmtId="0" fontId="68" fillId="0" borderId="0" xfId="59" applyNumberFormat="1" applyFont="1" applyBorder="1"/>
    <xf numFmtId="43" fontId="0" fillId="0" borderId="0" xfId="60" applyFont="1" applyBorder="1"/>
    <xf numFmtId="171" fontId="5" fillId="0" borderId="0" xfId="59" applyNumberFormat="1"/>
    <xf numFmtId="170" fontId="76" fillId="0" borderId="6" xfId="60" applyNumberFormat="1" applyFont="1" applyBorder="1"/>
    <xf numFmtId="39" fontId="47" fillId="0" borderId="1" xfId="59" applyNumberFormat="1" applyFont="1" applyBorder="1"/>
    <xf numFmtId="170" fontId="63" fillId="7" borderId="2" xfId="59" applyNumberFormat="1" applyFont="1" applyFill="1" applyBorder="1"/>
    <xf numFmtId="170" fontId="63" fillId="7" borderId="4" xfId="59" applyNumberFormat="1" applyFont="1" applyFill="1" applyBorder="1"/>
    <xf numFmtId="0" fontId="77" fillId="0" borderId="5" xfId="59" applyNumberFormat="1" applyFont="1" applyBorder="1"/>
    <xf numFmtId="39" fontId="47" fillId="0" borderId="0" xfId="59" applyNumberFormat="1" applyFont="1"/>
    <xf numFmtId="4" fontId="5" fillId="0" borderId="0" xfId="59" applyNumberFormat="1"/>
    <xf numFmtId="43" fontId="5" fillId="0" borderId="0" xfId="59" applyNumberFormat="1"/>
    <xf numFmtId="170" fontId="68" fillId="0" borderId="0" xfId="59" applyNumberFormat="1" applyFont="1" applyBorder="1"/>
    <xf numFmtId="49" fontId="66" fillId="9" borderId="3" xfId="59" applyNumberFormat="1" applyFont="1" applyFill="1" applyBorder="1" applyAlignment="1">
      <alignment horizontal="center"/>
    </xf>
    <xf numFmtId="49" fontId="66" fillId="9" borderId="2" xfId="59" applyNumberFormat="1" applyFont="1" applyFill="1" applyBorder="1" applyAlignment="1">
      <alignment horizontal="center"/>
    </xf>
    <xf numFmtId="49" fontId="63" fillId="15" borderId="3" xfId="59" applyNumberFormat="1" applyFont="1" applyFill="1" applyBorder="1"/>
    <xf numFmtId="49" fontId="63" fillId="15" borderId="2" xfId="59" applyNumberFormat="1" applyFont="1" applyFill="1" applyBorder="1"/>
    <xf numFmtId="0" fontId="48" fillId="0" borderId="0" xfId="59" applyFont="1"/>
    <xf numFmtId="0" fontId="48" fillId="0" borderId="5" xfId="59" applyNumberFormat="1" applyFont="1" applyBorder="1"/>
    <xf numFmtId="0" fontId="48" fillId="0" borderId="0" xfId="59" applyNumberFormat="1" applyFont="1" applyBorder="1"/>
    <xf numFmtId="0" fontId="5" fillId="0" borderId="5" xfId="59" applyBorder="1"/>
    <xf numFmtId="49" fontId="63" fillId="15" borderId="16" xfId="59" applyNumberFormat="1" applyFont="1" applyFill="1" applyBorder="1"/>
    <xf numFmtId="49" fontId="63" fillId="15" borderId="17" xfId="59" applyNumberFormat="1" applyFont="1" applyFill="1" applyBorder="1"/>
    <xf numFmtId="0" fontId="48" fillId="0" borderId="8" xfId="59" applyNumberFormat="1" applyFont="1" applyBorder="1"/>
    <xf numFmtId="0" fontId="48" fillId="0" borderId="1" xfId="59" applyNumberFormat="1" applyFont="1" applyBorder="1"/>
    <xf numFmtId="0" fontId="48" fillId="0" borderId="0" xfId="59" applyNumberFormat="1" applyFont="1"/>
    <xf numFmtId="49" fontId="48" fillId="0" borderId="0" xfId="59" applyNumberFormat="1" applyFont="1" applyAlignment="1">
      <alignment horizontal="center"/>
    </xf>
    <xf numFmtId="49" fontId="63" fillId="9" borderId="3" xfId="59" applyNumberFormat="1" applyFont="1" applyFill="1" applyBorder="1"/>
    <xf numFmtId="49" fontId="63" fillId="9" borderId="2" xfId="59" applyNumberFormat="1" applyFont="1" applyFill="1" applyBorder="1"/>
    <xf numFmtId="39" fontId="63" fillId="9" borderId="2" xfId="59" applyNumberFormat="1" applyFont="1" applyFill="1" applyBorder="1"/>
    <xf numFmtId="39" fontId="63" fillId="9" borderId="4" xfId="59" applyNumberFormat="1" applyFont="1" applyFill="1" applyBorder="1"/>
    <xf numFmtId="39" fontId="48" fillId="0" borderId="0" xfId="59" applyNumberFormat="1" applyFont="1"/>
    <xf numFmtId="49" fontId="63" fillId="9" borderId="4" xfId="0" applyNumberFormat="1" applyFont="1" applyFill="1" applyBorder="1" applyAlignment="1">
      <alignment horizontal="center"/>
    </xf>
    <xf numFmtId="39" fontId="47" fillId="0" borderId="6" xfId="0" applyNumberFormat="1" applyFont="1" applyBorder="1"/>
    <xf numFmtId="39" fontId="63" fillId="15" borderId="4" xfId="0" applyNumberFormat="1" applyFont="1" applyFill="1" applyBorder="1"/>
    <xf numFmtId="39" fontId="63" fillId="7" borderId="15" xfId="0" applyNumberFormat="1" applyFont="1" applyFill="1" applyBorder="1"/>
    <xf numFmtId="39" fontId="63" fillId="15" borderId="18" xfId="0" applyNumberFormat="1" applyFont="1" applyFill="1" applyBorder="1"/>
    <xf numFmtId="0" fontId="0" fillId="0" borderId="6" xfId="0" applyBorder="1"/>
    <xf numFmtId="49" fontId="47" fillId="0" borderId="0" xfId="0" applyNumberFormat="1" applyFont="1"/>
    <xf numFmtId="49" fontId="48" fillId="0" borderId="0" xfId="0" applyNumberFormat="1" applyFont="1"/>
    <xf numFmtId="43" fontId="5" fillId="0" borderId="0" xfId="1" applyFont="1"/>
    <xf numFmtId="0" fontId="5" fillId="0" borderId="12" xfId="56" applyFont="1" applyBorder="1"/>
    <xf numFmtId="0" fontId="0" fillId="0" borderId="12" xfId="58" applyNumberFormat="1" applyFont="1" applyBorder="1"/>
    <xf numFmtId="0" fontId="27" fillId="0" borderId="0" xfId="31" applyNumberFormat="1" applyAlignment="1">
      <alignment horizontal="left"/>
    </xf>
    <xf numFmtId="39" fontId="55" fillId="0" borderId="0" xfId="0" applyNumberFormat="1" applyFont="1" applyAlignment="1">
      <alignment horizontal="center"/>
    </xf>
    <xf numFmtId="49" fontId="47" fillId="0" borderId="5" xfId="0" applyNumberFormat="1" applyFont="1" applyBorder="1"/>
    <xf numFmtId="49" fontId="63" fillId="9" borderId="2" xfId="0" applyNumberFormat="1" applyFont="1" applyFill="1" applyBorder="1" applyAlignment="1">
      <alignment horizontal="center"/>
    </xf>
    <xf numFmtId="39" fontId="63" fillId="7" borderId="2" xfId="0" applyNumberFormat="1" applyFont="1" applyFill="1" applyBorder="1"/>
    <xf numFmtId="39" fontId="63" fillId="15" borderId="2" xfId="0" applyNumberFormat="1" applyFont="1" applyFill="1" applyBorder="1"/>
    <xf numFmtId="39" fontId="63" fillId="7" borderId="9" xfId="0" applyNumberFormat="1" applyFont="1" applyFill="1" applyBorder="1"/>
    <xf numFmtId="39" fontId="63" fillId="15" borderId="17" xfId="0" applyNumberFormat="1" applyFont="1" applyFill="1" applyBorder="1"/>
    <xf numFmtId="0" fontId="0" fillId="0" borderId="0" xfId="0" applyBorder="1"/>
    <xf numFmtId="43" fontId="67" fillId="0" borderId="1" xfId="60" applyFont="1" applyBorder="1"/>
    <xf numFmtId="49" fontId="48" fillId="0" borderId="5" xfId="0" applyNumberFormat="1" applyFont="1" applyBorder="1"/>
    <xf numFmtId="49" fontId="69" fillId="6" borderId="3" xfId="0" applyNumberFormat="1" applyFont="1" applyFill="1" applyBorder="1" applyAlignment="1">
      <alignment horizontal="center"/>
    </xf>
    <xf numFmtId="49" fontId="69" fillId="6" borderId="2" xfId="0" applyNumberFormat="1" applyFont="1" applyFill="1" applyBorder="1" applyAlignment="1">
      <alignment horizontal="center"/>
    </xf>
    <xf numFmtId="49" fontId="69" fillId="6" borderId="4" xfId="0" applyNumberFormat="1" applyFont="1" applyFill="1" applyBorder="1" applyAlignment="1">
      <alignment horizontal="center"/>
    </xf>
    <xf numFmtId="43" fontId="44" fillId="6" borderId="1" xfId="1" applyFont="1" applyFill="1" applyBorder="1" applyAlignment="1">
      <alignment horizontal="center"/>
    </xf>
    <xf numFmtId="43" fontId="46" fillId="6" borderId="7" xfId="1" applyFont="1" applyFill="1" applyBorder="1" applyAlignment="1">
      <alignment horizontal="center"/>
    </xf>
    <xf numFmtId="43" fontId="44" fillId="6" borderId="8" xfId="1" applyFont="1" applyFill="1" applyBorder="1" applyAlignment="1">
      <alignment horizontal="center"/>
    </xf>
    <xf numFmtId="39" fontId="47" fillId="0" borderId="1" xfId="0" applyNumberFormat="1" applyFont="1" applyBorder="1"/>
    <xf numFmtId="43" fontId="52" fillId="5" borderId="1" xfId="13" applyFont="1" applyFill="1" applyBorder="1"/>
    <xf numFmtId="49" fontId="47" fillId="0" borderId="1" xfId="0" applyNumberFormat="1" applyFont="1" applyBorder="1"/>
    <xf numFmtId="169" fontId="47" fillId="0" borderId="0" xfId="0" applyNumberFormat="1" applyFont="1" applyBorder="1" applyAlignment="1">
      <alignment horizontal="center"/>
    </xf>
    <xf numFmtId="43" fontId="43" fillId="0" borderId="0" xfId="60" applyFont="1" applyBorder="1"/>
    <xf numFmtId="39" fontId="47" fillId="0" borderId="7" xfId="0" applyNumberFormat="1" applyFont="1" applyBorder="1"/>
    <xf numFmtId="49" fontId="63" fillId="7" borderId="3" xfId="0" applyNumberFormat="1" applyFont="1" applyFill="1" applyBorder="1"/>
    <xf numFmtId="49" fontId="63" fillId="7" borderId="11" xfId="0" applyNumberFormat="1" applyFont="1" applyFill="1" applyBorder="1"/>
    <xf numFmtId="43" fontId="46" fillId="4" borderId="3" xfId="1" applyFont="1" applyFill="1" applyBorder="1"/>
    <xf numFmtId="170" fontId="46" fillId="4" borderId="2" xfId="1" applyNumberFormat="1" applyFont="1" applyFill="1" applyBorder="1"/>
    <xf numFmtId="170" fontId="46" fillId="4" borderId="4" xfId="1" applyNumberFormat="1" applyFont="1" applyFill="1" applyBorder="1"/>
    <xf numFmtId="44" fontId="63" fillId="9" borderId="4" xfId="59" applyNumberFormat="1" applyFont="1" applyFill="1" applyBorder="1"/>
    <xf numFmtId="43" fontId="67" fillId="0" borderId="1" xfId="1" applyFont="1" applyBorder="1"/>
    <xf numFmtId="43" fontId="4" fillId="0" borderId="0" xfId="56" applyNumberFormat="1" applyFont="1"/>
    <xf numFmtId="0" fontId="77" fillId="0" borderId="8" xfId="59" applyNumberFormat="1" applyFont="1" applyBorder="1"/>
    <xf numFmtId="39" fontId="48" fillId="0" borderId="1" xfId="59" applyNumberFormat="1" applyFont="1" applyBorder="1"/>
    <xf numFmtId="39" fontId="48" fillId="0" borderId="7" xfId="59" applyNumberFormat="1" applyFont="1" applyBorder="1"/>
    <xf numFmtId="49" fontId="70" fillId="7" borderId="3" xfId="0" applyNumberFormat="1" applyFont="1" applyFill="1" applyBorder="1" applyAlignment="1">
      <alignment horizontal="center"/>
    </xf>
    <xf numFmtId="49" fontId="70" fillId="7" borderId="2" xfId="0" applyNumberFormat="1" applyFont="1" applyFill="1" applyBorder="1" applyAlignment="1">
      <alignment horizontal="center"/>
    </xf>
    <xf numFmtId="49" fontId="70" fillId="7" borderId="4" xfId="0" applyNumberFormat="1" applyFont="1" applyFill="1" applyBorder="1" applyAlignment="1">
      <alignment horizontal="center"/>
    </xf>
    <xf numFmtId="43" fontId="3" fillId="0" borderId="0" xfId="1" applyFont="1"/>
    <xf numFmtId="0" fontId="3" fillId="0" borderId="0" xfId="59" applyFont="1"/>
    <xf numFmtId="43" fontId="2" fillId="0" borderId="0" xfId="1" applyFont="1"/>
    <xf numFmtId="4" fontId="2" fillId="0" borderId="0" xfId="56" applyNumberFormat="1" applyFont="1"/>
    <xf numFmtId="49" fontId="47" fillId="0" borderId="8" xfId="0" applyNumberFormat="1" applyFont="1" applyBorder="1"/>
    <xf numFmtId="169" fontId="47" fillId="0" borderId="1" xfId="0" applyNumberFormat="1" applyFont="1" applyBorder="1" applyAlignment="1">
      <alignment horizontal="center"/>
    </xf>
    <xf numFmtId="39" fontId="47" fillId="0" borderId="7" xfId="59" applyNumberFormat="1" applyFont="1" applyBorder="1"/>
    <xf numFmtId="0" fontId="6" fillId="0" borderId="10" xfId="56" applyBorder="1" applyAlignment="1">
      <alignment horizontal="center" vertical="center" wrapText="1"/>
    </xf>
    <xf numFmtId="0" fontId="6" fillId="0" borderId="9" xfId="56" applyBorder="1" applyAlignment="1">
      <alignment horizontal="center" vertical="center" wrapText="1"/>
    </xf>
    <xf numFmtId="0" fontId="6" fillId="0" borderId="15" xfId="56" applyBorder="1" applyAlignment="1">
      <alignment horizontal="center" vertical="center" wrapText="1"/>
    </xf>
    <xf numFmtId="0" fontId="6" fillId="0" borderId="5" xfId="56" applyBorder="1" applyAlignment="1">
      <alignment horizontal="center" vertical="center" wrapText="1"/>
    </xf>
    <xf numFmtId="0" fontId="6" fillId="0" borderId="0" xfId="56" applyBorder="1" applyAlignment="1">
      <alignment horizontal="center" vertical="center" wrapText="1"/>
    </xf>
    <xf numFmtId="0" fontId="6" fillId="0" borderId="6" xfId="56" applyBorder="1" applyAlignment="1">
      <alignment horizontal="center" vertical="center" wrapText="1"/>
    </xf>
    <xf numFmtId="0" fontId="75" fillId="13" borderId="0" xfId="56" applyFont="1" applyFill="1" applyAlignment="1">
      <alignment horizontal="center" vertical="center" wrapText="1"/>
    </xf>
    <xf numFmtId="0" fontId="59" fillId="4" borderId="3" xfId="0" applyNumberFormat="1" applyFont="1" applyFill="1" applyBorder="1" applyAlignment="1">
      <alignment horizontal="center"/>
    </xf>
    <xf numFmtId="0" fontId="59" fillId="4" borderId="2" xfId="0" applyNumberFormat="1" applyFont="1" applyFill="1" applyBorder="1" applyAlignment="1">
      <alignment horizontal="center"/>
    </xf>
    <xf numFmtId="0" fontId="59" fillId="4" borderId="4" xfId="0" applyNumberFormat="1" applyFont="1" applyFill="1" applyBorder="1" applyAlignment="1">
      <alignment horizontal="center"/>
    </xf>
    <xf numFmtId="43" fontId="59" fillId="7" borderId="3" xfId="1" applyFont="1" applyFill="1" applyBorder="1" applyAlignment="1">
      <alignment horizontal="left"/>
    </xf>
    <xf numFmtId="43" fontId="59" fillId="7" borderId="2" xfId="1" applyFont="1" applyFill="1" applyBorder="1" applyAlignment="1">
      <alignment horizontal="left"/>
    </xf>
    <xf numFmtId="43" fontId="59" fillId="7" borderId="4" xfId="1" applyFont="1" applyFill="1" applyBorder="1" applyAlignment="1">
      <alignment horizontal="left"/>
    </xf>
    <xf numFmtId="165" fontId="51" fillId="2" borderId="3" xfId="12" applyFont="1" applyFill="1" applyBorder="1" applyAlignment="1">
      <alignment horizontal="center"/>
    </xf>
    <xf numFmtId="165" fontId="51" fillId="2" borderId="2" xfId="12" applyFont="1" applyFill="1" applyBorder="1" applyAlignment="1">
      <alignment horizontal="center"/>
    </xf>
    <xf numFmtId="165" fontId="51" fillId="2" borderId="4" xfId="12" applyFont="1" applyFill="1" applyBorder="1" applyAlignment="1">
      <alignment horizontal="center"/>
    </xf>
    <xf numFmtId="168" fontId="1" fillId="0" borderId="0" xfId="59" applyNumberFormat="1" applyFont="1"/>
    <xf numFmtId="43" fontId="68" fillId="0" borderId="0" xfId="59" applyNumberFormat="1" applyFont="1" applyBorder="1"/>
    <xf numFmtId="49" fontId="78" fillId="0" borderId="0" xfId="0" applyNumberFormat="1" applyFont="1"/>
    <xf numFmtId="39" fontId="78" fillId="0" borderId="0" xfId="0" applyNumberFormat="1" applyFont="1"/>
    <xf numFmtId="39" fontId="78" fillId="0" borderId="1" xfId="0" applyNumberFormat="1" applyFont="1" applyBorder="1"/>
    <xf numFmtId="43" fontId="67" fillId="0" borderId="7" xfId="60" applyFont="1" applyBorder="1"/>
    <xf numFmtId="49" fontId="48" fillId="0" borderId="8" xfId="0" applyNumberFormat="1" applyFont="1" applyBorder="1"/>
    <xf numFmtId="39" fontId="45" fillId="0" borderId="6" xfId="0" applyNumberFormat="1" applyFont="1" applyBorder="1"/>
    <xf numFmtId="43" fontId="45" fillId="0" borderId="0" xfId="1" applyFont="1" applyAlignment="1">
      <alignment horizontal="center"/>
    </xf>
    <xf numFmtId="43" fontId="43" fillId="0" borderId="0" xfId="0" applyNumberFormat="1" applyFont="1"/>
    <xf numFmtId="49" fontId="48" fillId="0" borderId="8" xfId="59" applyNumberFormat="1" applyFont="1" applyBorder="1"/>
    <xf numFmtId="49" fontId="48" fillId="0" borderId="1" xfId="59" applyNumberFormat="1" applyFont="1" applyBorder="1"/>
    <xf numFmtId="41" fontId="1" fillId="0" borderId="0" xfId="56" applyNumberFormat="1" applyFont="1"/>
    <xf numFmtId="4" fontId="6" fillId="0" borderId="0" xfId="56" applyNumberFormat="1"/>
    <xf numFmtId="49" fontId="70" fillId="0" borderId="10" xfId="0" applyNumberFormat="1" applyFont="1" applyBorder="1"/>
    <xf numFmtId="169" fontId="70" fillId="0" borderId="9" xfId="0" applyNumberFormat="1" applyFont="1" applyBorder="1" applyAlignment="1">
      <alignment horizontal="center"/>
    </xf>
    <xf numFmtId="49" fontId="70" fillId="0" borderId="9" xfId="0" applyNumberFormat="1" applyFont="1" applyBorder="1"/>
    <xf numFmtId="39" fontId="70" fillId="0" borderId="15" xfId="0" applyNumberFormat="1" applyFont="1" applyBorder="1"/>
    <xf numFmtId="49" fontId="70" fillId="0" borderId="5" xfId="0" applyNumberFormat="1" applyFont="1" applyBorder="1"/>
    <xf numFmtId="169" fontId="70" fillId="0" borderId="0" xfId="0" applyNumberFormat="1" applyFont="1" applyBorder="1" applyAlignment="1">
      <alignment horizontal="center"/>
    </xf>
    <xf numFmtId="49" fontId="70" fillId="0" borderId="0" xfId="0" applyNumberFormat="1" applyFont="1" applyBorder="1"/>
    <xf numFmtId="39" fontId="70" fillId="0" borderId="6" xfId="0" applyNumberFormat="1" applyFont="1" applyBorder="1"/>
    <xf numFmtId="49" fontId="78" fillId="0" borderId="5" xfId="0" applyNumberFormat="1" applyFont="1" applyBorder="1"/>
    <xf numFmtId="169" fontId="78" fillId="0" borderId="0" xfId="0" applyNumberFormat="1" applyFont="1" applyBorder="1" applyAlignment="1">
      <alignment horizontal="center"/>
    </xf>
    <xf numFmtId="49" fontId="78" fillId="0" borderId="0" xfId="0" applyNumberFormat="1" applyFont="1" applyBorder="1"/>
    <xf numFmtId="39" fontId="78" fillId="0" borderId="6" xfId="0" applyNumberFormat="1" applyFont="1" applyBorder="1"/>
    <xf numFmtId="39" fontId="78" fillId="0" borderId="7" xfId="0" applyNumberFormat="1" applyFont="1" applyBorder="1"/>
    <xf numFmtId="39" fontId="78" fillId="0" borderId="15" xfId="0" applyNumberFormat="1" applyFont="1" applyBorder="1"/>
    <xf numFmtId="49" fontId="79" fillId="6" borderId="3" xfId="0" applyNumberFormat="1" applyFont="1" applyFill="1" applyBorder="1"/>
    <xf numFmtId="169" fontId="79" fillId="6" borderId="2" xfId="0" applyNumberFormat="1" applyFont="1" applyFill="1" applyBorder="1" applyAlignment="1">
      <alignment horizontal="center"/>
    </xf>
    <xf numFmtId="49" fontId="79" fillId="6" borderId="2" xfId="0" applyNumberFormat="1" applyFont="1" applyFill="1" applyBorder="1"/>
    <xf numFmtId="39" fontId="79" fillId="6" borderId="4" xfId="0" applyNumberFormat="1" applyFont="1" applyFill="1" applyBorder="1"/>
    <xf numFmtId="49" fontId="78" fillId="0" borderId="8" xfId="0" applyNumberFormat="1" applyFont="1" applyBorder="1"/>
    <xf numFmtId="169" fontId="78" fillId="0" borderId="1" xfId="0" applyNumberFormat="1" applyFont="1" applyBorder="1" applyAlignment="1">
      <alignment horizontal="center"/>
    </xf>
    <xf numFmtId="49" fontId="78" fillId="0" borderId="1" xfId="0" applyNumberFormat="1" applyFont="1" applyBorder="1"/>
  </cellXfs>
  <cellStyles count="61">
    <cellStyle name="Millares" xfId="1" builtinId="3"/>
    <cellStyle name="Millares [0] 2" xfId="57"/>
    <cellStyle name="Millares 10" xfId="24"/>
    <cellStyle name="Millares 11" xfId="29"/>
    <cellStyle name="Millares 12" xfId="41"/>
    <cellStyle name="Millares 13" xfId="45"/>
    <cellStyle name="Millares 13 2" xfId="54"/>
    <cellStyle name="Millares 14" xfId="60"/>
    <cellStyle name="Millares 2" xfId="3"/>
    <cellStyle name="Millares 3" xfId="5"/>
    <cellStyle name="Millares 4" xfId="9"/>
    <cellStyle name="Millares 5" xfId="11"/>
    <cellStyle name="Millares 6" xfId="13"/>
    <cellStyle name="Millares 7" xfId="18"/>
    <cellStyle name="Millares 8" xfId="20"/>
    <cellStyle name="Millares 9" xfId="22"/>
    <cellStyle name="Moneda 2" xfId="14"/>
    <cellStyle name="Moneda 3" xfId="15"/>
    <cellStyle name="Moneda 4" xfId="16"/>
    <cellStyle name="Normal" xfId="0" builtinId="0"/>
    <cellStyle name="Normal 10" xfId="19"/>
    <cellStyle name="Normal 11" xfId="21"/>
    <cellStyle name="Normal 12" xfId="23"/>
    <cellStyle name="Normal 13" xfId="25"/>
    <cellStyle name="Normal 14" xfId="26"/>
    <cellStyle name="Normal 15" xfId="27"/>
    <cellStyle name="Normal 16" xfId="28"/>
    <cellStyle name="Normal 17" xfId="30"/>
    <cellStyle name="Normal 18" xfId="31"/>
    <cellStyle name="Normal 19" xfId="32"/>
    <cellStyle name="Normal 2" xfId="2"/>
    <cellStyle name="Normal 20" xfId="33"/>
    <cellStyle name="Normal 21" xfId="34"/>
    <cellStyle name="Normal 22" xfId="35"/>
    <cellStyle name="Normal 23" xfId="36"/>
    <cellStyle name="Normal 24" xfId="37"/>
    <cellStyle name="Normal 25" xfId="38"/>
    <cellStyle name="Normal 26" xfId="39"/>
    <cellStyle name="Normal 27" xfId="40"/>
    <cellStyle name="Normal 28" xfId="42"/>
    <cellStyle name="Normal 29" xfId="43"/>
    <cellStyle name="Normal 3" xfId="4"/>
    <cellStyle name="Normal 30" xfId="44"/>
    <cellStyle name="Normal 30 2" xfId="53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5"/>
    <cellStyle name="Normal 39" xfId="56"/>
    <cellStyle name="Normal 4" xfId="6"/>
    <cellStyle name="Normal 40" xfId="59"/>
    <cellStyle name="Normal 5" xfId="7"/>
    <cellStyle name="Normal 6" xfId="8"/>
    <cellStyle name="Normal 7" xfId="10"/>
    <cellStyle name="Normal 8" xfId="12"/>
    <cellStyle name="Normal 9" xfId="17"/>
    <cellStyle name="Porcentaje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 ITEMS FACTURADAS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 FACTURADO VS RECAUDADO'!$A$3:$A$5</c:f>
              <c:strCache>
                <c:ptCount val="3"/>
                <c:pt idx="0">
                  <c:v>CUOTAS E ITEMS FACTURADOS</c:v>
                </c:pt>
                <c:pt idx="1">
                  <c:v>CUOTAS E ITEMS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RECAUDADO'!$B$3:$B$5</c:f>
              <c:numCache>
                <c:formatCode>_(* #,##0.00_);_(* \(#,##0.00\);_(* "-"??_);_(@_)</c:formatCode>
                <c:ptCount val="3"/>
                <c:pt idx="0" formatCode="#,##0.00">
                  <c:v>12724795.819999998</c:v>
                </c:pt>
                <c:pt idx="1">
                  <c:v>9840539.1500000004</c:v>
                </c:pt>
                <c:pt idx="2" formatCode="#,##0.00">
                  <c:v>2884256.6699999981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5141888"/>
        <c:axId val="80198976"/>
      </c:barChart>
      <c:catAx>
        <c:axId val="9514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80198976"/>
        <c:crosses val="autoZero"/>
        <c:auto val="1"/>
        <c:lblAlgn val="ctr"/>
        <c:lblOffset val="100"/>
        <c:noMultiLvlLbl val="0"/>
      </c:catAx>
      <c:valAx>
        <c:axId val="8019897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9514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CUOTAS EXTRAORDINARIAS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FACTURADO VS RECAUDADO'!$A$7:$A$9</c:f>
              <c:strCache>
                <c:ptCount val="3"/>
                <c:pt idx="0">
                  <c:v>CUOTAS EXTRAORDINARIAS FACTURADAS</c:v>
                </c:pt>
                <c:pt idx="1">
                  <c:v>CUOTAS EXTRORDINARIAS RECAUDADAS</c:v>
                </c:pt>
                <c:pt idx="2">
                  <c:v>SALDO DEL MES</c:v>
                </c:pt>
              </c:strCache>
            </c:strRef>
          </c:cat>
          <c:val>
            <c:numRef>
              <c:f>'3. FACTURADO VS RECAUDADO'!$B$7:$B$9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142912"/>
        <c:axId val="95175232"/>
      </c:barChart>
      <c:catAx>
        <c:axId val="9514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5175232"/>
        <c:crosses val="autoZero"/>
        <c:auto val="1"/>
        <c:lblAlgn val="ctr"/>
        <c:lblOffset val="100"/>
        <c:noMultiLvlLbl val="0"/>
      </c:catAx>
      <c:valAx>
        <c:axId val="9517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951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9</xdr:row>
      <xdr:rowOff>149225</xdr:rowOff>
    </xdr:from>
    <xdr:to>
      <xdr:col>5</xdr:col>
      <xdr:colOff>234950</xdr:colOff>
      <xdr:row>23</xdr:row>
      <xdr:rowOff>127000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24</xdr:row>
      <xdr:rowOff>104775</xdr:rowOff>
    </xdr:from>
    <xdr:to>
      <xdr:col>5</xdr:col>
      <xdr:colOff>254000</xdr:colOff>
      <xdr:row>39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123825</xdr:rowOff>
    </xdr:from>
    <xdr:to>
      <xdr:col>6</xdr:col>
      <xdr:colOff>866775</xdr:colOff>
      <xdr:row>7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335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</xdr:colOff>
      <xdr:row>78</xdr:row>
      <xdr:rowOff>123825</xdr:rowOff>
    </xdr:from>
    <xdr:to>
      <xdr:col>6</xdr:col>
      <xdr:colOff>866775</xdr:colOff>
      <xdr:row>78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76550" y="5381625"/>
          <a:ext cx="7677150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76200</xdr:colOff>
      <xdr:row>76</xdr:row>
      <xdr:rowOff>114300</xdr:rowOff>
    </xdr:from>
    <xdr:to>
      <xdr:col>6</xdr:col>
      <xdr:colOff>866775</xdr:colOff>
      <xdr:row>76</xdr:row>
      <xdr:rowOff>133350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2895600" y="5029200"/>
          <a:ext cx="76581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333374</xdr:colOff>
      <xdr:row>130</xdr:row>
      <xdr:rowOff>104776</xdr:rowOff>
    </xdr:from>
    <xdr:to>
      <xdr:col>6</xdr:col>
      <xdr:colOff>676274</xdr:colOff>
      <xdr:row>130</xdr:row>
      <xdr:rowOff>123826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2905124" y="17745076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323850</xdr:colOff>
      <xdr:row>128</xdr:row>
      <xdr:rowOff>85725</xdr:rowOff>
    </xdr:from>
    <xdr:to>
      <xdr:col>6</xdr:col>
      <xdr:colOff>666750</xdr:colOff>
      <xdr:row>128</xdr:row>
      <xdr:rowOff>104775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895600" y="17364075"/>
          <a:ext cx="6362700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138</xdr:row>
      <xdr:rowOff>95250</xdr:rowOff>
    </xdr:from>
    <xdr:to>
      <xdr:col>6</xdr:col>
      <xdr:colOff>552449</xdr:colOff>
      <xdr:row>138</xdr:row>
      <xdr:rowOff>104775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 flipV="1">
          <a:off x="2686050" y="20678775"/>
          <a:ext cx="6457949" cy="95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67677</xdr:colOff>
      <xdr:row>73</xdr:row>
      <xdr:rowOff>94749</xdr:rowOff>
    </xdr:from>
    <xdr:to>
      <xdr:col>7</xdr:col>
      <xdr:colOff>242135</xdr:colOff>
      <xdr:row>73</xdr:row>
      <xdr:rowOff>113799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2915151" y="21290381"/>
          <a:ext cx="7403431" cy="190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abSelected="1" workbookViewId="0">
      <pane xSplit="5" ySplit="1" topLeftCell="F24" activePane="bottomRight" state="frozenSplit"/>
      <selection pane="topRight" activeCell="G1" sqref="G1"/>
      <selection pane="bottomLeft" activeCell="A2" sqref="A2"/>
      <selection pane="bottomRight" activeCell="L38" sqref="L38"/>
    </sheetView>
  </sheetViews>
  <sheetFormatPr baseColWidth="10" defaultColWidth="11.42578125" defaultRowHeight="15" x14ac:dyDescent="0.25"/>
  <cols>
    <col min="1" max="1" width="2" style="240" customWidth="1"/>
    <col min="2" max="2" width="2.42578125" style="240" customWidth="1"/>
    <col min="3" max="3" width="2.7109375" style="240" customWidth="1"/>
    <col min="4" max="4" width="3" style="240" customWidth="1"/>
    <col min="5" max="5" width="29.5703125" style="240" customWidth="1"/>
    <col min="6" max="6" width="14.5703125" style="172" customWidth="1"/>
    <col min="7" max="7" width="15.28515625" style="172" customWidth="1"/>
    <col min="8" max="9" width="13.140625" style="172" bestFit="1" customWidth="1"/>
    <col min="10" max="10" width="13.140625" style="255" customWidth="1"/>
    <col min="11" max="11" width="17.7109375" style="172" customWidth="1"/>
    <col min="12" max="12" width="21.85546875" style="172" customWidth="1"/>
    <col min="13" max="16384" width="11.42578125" style="172"/>
  </cols>
  <sheetData>
    <row r="1" spans="1:12" s="170" customFormat="1" ht="15.75" thickBot="1" x14ac:dyDescent="0.3">
      <c r="A1" s="228"/>
      <c r="B1" s="229"/>
      <c r="C1" s="229"/>
      <c r="D1" s="229"/>
      <c r="E1" s="229"/>
      <c r="F1" s="261" t="s">
        <v>74</v>
      </c>
      <c r="G1" s="261" t="s">
        <v>156</v>
      </c>
      <c r="H1" s="261" t="s">
        <v>164</v>
      </c>
      <c r="I1" s="261" t="s">
        <v>175</v>
      </c>
      <c r="J1" s="247" t="s">
        <v>178</v>
      </c>
    </row>
    <row r="2" spans="1:12" x14ac:dyDescent="0.25">
      <c r="A2" s="173"/>
      <c r="B2" s="175" t="s">
        <v>75</v>
      </c>
      <c r="C2" s="175"/>
      <c r="D2" s="175"/>
      <c r="E2" s="175"/>
      <c r="F2" s="78"/>
      <c r="G2" s="78"/>
      <c r="H2" s="78"/>
      <c r="I2" s="78"/>
      <c r="J2" s="248"/>
    </row>
    <row r="3" spans="1:12" x14ac:dyDescent="0.25">
      <c r="A3" s="173"/>
      <c r="B3" s="175"/>
      <c r="C3" s="175" t="s">
        <v>61</v>
      </c>
      <c r="D3" s="175"/>
      <c r="E3" s="175"/>
      <c r="F3" s="78"/>
      <c r="G3" s="78"/>
      <c r="H3" s="78"/>
      <c r="I3" s="78"/>
      <c r="J3" s="248"/>
    </row>
    <row r="4" spans="1:12" x14ac:dyDescent="0.25">
      <c r="A4" s="173"/>
      <c r="B4" s="175"/>
      <c r="C4" s="175"/>
      <c r="D4" s="175" t="s">
        <v>62</v>
      </c>
      <c r="E4" s="175"/>
      <c r="F4" s="78"/>
      <c r="G4" s="78"/>
      <c r="H4" s="78"/>
      <c r="I4" s="78"/>
      <c r="J4" s="248"/>
    </row>
    <row r="5" spans="1:12" x14ac:dyDescent="0.25">
      <c r="A5" s="173"/>
      <c r="B5" s="175"/>
      <c r="C5" s="175"/>
      <c r="D5" s="175"/>
      <c r="E5" s="175" t="s">
        <v>63</v>
      </c>
      <c r="F5" s="78">
        <v>969958.87</v>
      </c>
      <c r="G5" s="78">
        <v>1573110.55</v>
      </c>
      <c r="H5" s="78">
        <v>0</v>
      </c>
      <c r="I5" s="78">
        <v>0</v>
      </c>
      <c r="J5" s="248">
        <v>0</v>
      </c>
    </row>
    <row r="6" spans="1:12" ht="15.75" thickBot="1" x14ac:dyDescent="0.3">
      <c r="A6" s="173"/>
      <c r="B6" s="175"/>
      <c r="C6" s="175"/>
      <c r="D6" s="175"/>
      <c r="E6" s="175" t="s">
        <v>68</v>
      </c>
      <c r="F6" s="78">
        <v>697039.83050000004</v>
      </c>
      <c r="G6" s="78">
        <v>1265401.57</v>
      </c>
      <c r="H6" s="78">
        <v>0</v>
      </c>
      <c r="I6" s="78">
        <v>0</v>
      </c>
      <c r="J6" s="248">
        <v>0</v>
      </c>
    </row>
    <row r="7" spans="1:12" ht="15.75" thickBot="1" x14ac:dyDescent="0.3">
      <c r="A7" s="181"/>
      <c r="B7" s="183"/>
      <c r="C7" s="183"/>
      <c r="D7" s="183" t="s">
        <v>76</v>
      </c>
      <c r="E7" s="183"/>
      <c r="F7" s="262">
        <v>1666998.7005</v>
      </c>
      <c r="G7" s="262">
        <f t="shared" ref="G7:H7" si="0">ROUND(SUM(G4:G6),5)</f>
        <v>2838512.12</v>
      </c>
      <c r="H7" s="262">
        <f t="shared" si="0"/>
        <v>0</v>
      </c>
      <c r="I7" s="262">
        <f t="shared" ref="I7" si="1">ROUND(SUM(I4:I6),5)</f>
        <v>0</v>
      </c>
      <c r="J7" s="80">
        <f>ROUND(SUM(J4:J6),5)</f>
        <v>0</v>
      </c>
    </row>
    <row r="8" spans="1:12" ht="21.75" customHeight="1" x14ac:dyDescent="0.25">
      <c r="A8" s="173"/>
      <c r="B8" s="175"/>
      <c r="C8" s="175"/>
      <c r="D8" s="175" t="s">
        <v>69</v>
      </c>
      <c r="E8" s="175"/>
      <c r="F8" s="78"/>
      <c r="G8" s="78"/>
      <c r="H8" s="78"/>
      <c r="I8" s="78"/>
      <c r="J8" s="248"/>
    </row>
    <row r="9" spans="1:12" x14ac:dyDescent="0.25">
      <c r="A9" s="173"/>
      <c r="B9" s="175"/>
      <c r="C9" s="175"/>
      <c r="D9" s="175"/>
      <c r="E9" s="175" t="s">
        <v>70</v>
      </c>
      <c r="F9" s="78">
        <v>2097226.6500000013</v>
      </c>
      <c r="G9" s="78">
        <v>3813330.77</v>
      </c>
      <c r="H9" s="78">
        <v>1867549.41</v>
      </c>
      <c r="I9" s="78">
        <v>4041112.78</v>
      </c>
      <c r="J9" s="248">
        <v>3122424.56</v>
      </c>
      <c r="L9" s="318" t="s">
        <v>3</v>
      </c>
    </row>
    <row r="10" spans="1:12" ht="15.75" thickBot="1" x14ac:dyDescent="0.3">
      <c r="A10" s="173"/>
      <c r="B10" s="175"/>
      <c r="C10" s="175"/>
      <c r="D10" s="175"/>
      <c r="E10" s="175" t="s">
        <v>71</v>
      </c>
      <c r="F10" s="78">
        <v>53557.663500000359</v>
      </c>
      <c r="G10" s="78">
        <v>668428.99</v>
      </c>
      <c r="H10" s="78">
        <v>75375.02</v>
      </c>
      <c r="I10" s="78">
        <v>34023502.409999996</v>
      </c>
      <c r="J10" s="248">
        <v>29270318.690000001</v>
      </c>
    </row>
    <row r="11" spans="1:12" ht="15.75" thickBot="1" x14ac:dyDescent="0.3">
      <c r="A11" s="181"/>
      <c r="B11" s="183"/>
      <c r="C11" s="183"/>
      <c r="D11" s="183" t="s">
        <v>77</v>
      </c>
      <c r="E11" s="183"/>
      <c r="F11" s="262">
        <v>2150784.3135000002</v>
      </c>
      <c r="G11" s="262">
        <f t="shared" ref="G11:H11" si="2">ROUND(SUM(G8:G10),5)</f>
        <v>4481759.76</v>
      </c>
      <c r="H11" s="262">
        <f t="shared" si="2"/>
        <v>1942924.43</v>
      </c>
      <c r="I11" s="262">
        <f t="shared" ref="I11" si="3">ROUND(SUM(I8:I10),5)</f>
        <v>38064615.189999998</v>
      </c>
      <c r="J11" s="80">
        <f>ROUND(SUM(J8:J10),5)</f>
        <v>32392743.25</v>
      </c>
    </row>
    <row r="12" spans="1:12" ht="30" customHeight="1" thickBot="1" x14ac:dyDescent="0.3">
      <c r="A12" s="181"/>
      <c r="B12" s="183"/>
      <c r="C12" s="183" t="s">
        <v>78</v>
      </c>
      <c r="D12" s="183"/>
      <c r="E12" s="183"/>
      <c r="F12" s="262">
        <v>3817783.014</v>
      </c>
      <c r="G12" s="262">
        <f t="shared" ref="G12:H12" si="4">ROUND(G3+G7+G11,5)</f>
        <v>7320271.8799999999</v>
      </c>
      <c r="H12" s="262">
        <f t="shared" si="4"/>
        <v>1942924.43</v>
      </c>
      <c r="I12" s="262">
        <f t="shared" ref="I12" si="5">ROUND(I3+I7+I11,5)</f>
        <v>38064615.189999998</v>
      </c>
      <c r="J12" s="80">
        <f t="shared" ref="J12" si="6">ROUND(J3+J7+J11,5)</f>
        <v>32392743.25</v>
      </c>
    </row>
    <row r="13" spans="1:12" ht="20.25" customHeight="1" x14ac:dyDescent="0.25">
      <c r="A13" s="173"/>
      <c r="B13" s="175"/>
      <c r="C13" s="175" t="s">
        <v>79</v>
      </c>
      <c r="D13" s="175"/>
      <c r="E13" s="175"/>
      <c r="F13" s="78"/>
      <c r="G13" s="78"/>
      <c r="H13" s="78"/>
      <c r="I13" s="78"/>
      <c r="J13" s="248"/>
    </row>
    <row r="14" spans="1:12" x14ac:dyDescent="0.25">
      <c r="A14" s="173"/>
      <c r="B14" s="175"/>
      <c r="C14" s="175"/>
      <c r="D14" s="175" t="s">
        <v>80</v>
      </c>
      <c r="E14" s="175"/>
      <c r="F14" s="78">
        <v>30227994.41</v>
      </c>
      <c r="G14" s="78">
        <f>37667763.31-3590400.7+3009597.61</f>
        <v>37086960.219999999</v>
      </c>
      <c r="H14" s="78">
        <v>42006961.780000001</v>
      </c>
      <c r="I14" s="78">
        <v>16429947.85</v>
      </c>
      <c r="J14" s="248">
        <f>+'2. COBROS'!F64-2306162.84</f>
        <v>10469622.140000001</v>
      </c>
      <c r="K14" s="295" t="s">
        <v>3</v>
      </c>
      <c r="L14" s="318" t="s">
        <v>3</v>
      </c>
    </row>
    <row r="15" spans="1:12" ht="15.75" thickBot="1" x14ac:dyDescent="0.3">
      <c r="A15" s="173"/>
      <c r="B15" s="175"/>
      <c r="C15" s="175"/>
      <c r="D15" s="175" t="s">
        <v>81</v>
      </c>
      <c r="E15" s="175"/>
      <c r="F15" s="78">
        <v>3659744.41</v>
      </c>
      <c r="G15" s="78">
        <v>3590400.7</v>
      </c>
      <c r="H15" s="78">
        <v>4528284.74</v>
      </c>
      <c r="I15" s="78">
        <v>1832472.07</v>
      </c>
      <c r="J15" s="248">
        <v>2306162.84</v>
      </c>
    </row>
    <row r="16" spans="1:12" ht="15.75" thickBot="1" x14ac:dyDescent="0.3">
      <c r="A16" s="181"/>
      <c r="B16" s="183"/>
      <c r="C16" s="183" t="s">
        <v>82</v>
      </c>
      <c r="D16" s="183"/>
      <c r="E16" s="183"/>
      <c r="F16" s="262">
        <v>33887738.82</v>
      </c>
      <c r="G16" s="262">
        <f t="shared" ref="G16:H16" si="7">SUM(G14:G15)</f>
        <v>40677360.920000002</v>
      </c>
      <c r="H16" s="262">
        <f t="shared" si="7"/>
        <v>46535246.520000003</v>
      </c>
      <c r="I16" s="262">
        <f t="shared" ref="I16" si="8">SUM(I14:I15)</f>
        <v>18262419.919999998</v>
      </c>
      <c r="J16" s="80">
        <f t="shared" ref="J16" si="9">SUM(J14:J15)</f>
        <v>12775784.98</v>
      </c>
      <c r="L16" s="318" t="s">
        <v>3</v>
      </c>
    </row>
    <row r="17" spans="1:12" x14ac:dyDescent="0.25">
      <c r="A17" s="173"/>
      <c r="B17" s="175"/>
      <c r="C17" s="175" t="s">
        <v>83</v>
      </c>
      <c r="D17" s="175"/>
      <c r="E17" s="175"/>
      <c r="F17" s="78"/>
      <c r="G17" s="78"/>
      <c r="H17" s="78"/>
      <c r="I17" s="78"/>
      <c r="J17" s="248"/>
    </row>
    <row r="18" spans="1:12" x14ac:dyDescent="0.25">
      <c r="A18" s="173"/>
      <c r="B18" s="175"/>
      <c r="C18" s="175" t="s">
        <v>84</v>
      </c>
      <c r="D18" s="175"/>
      <c r="E18" s="175"/>
      <c r="F18" s="78">
        <v>78410</v>
      </c>
      <c r="G18" s="78">
        <v>179719.3</v>
      </c>
      <c r="H18" s="78">
        <v>270853.3</v>
      </c>
      <c r="I18" s="78">
        <v>270853.3</v>
      </c>
      <c r="J18" s="248">
        <v>505453.3</v>
      </c>
    </row>
    <row r="19" spans="1:12" x14ac:dyDescent="0.25">
      <c r="A19" s="173"/>
      <c r="B19" s="175"/>
      <c r="C19" s="175" t="s">
        <v>85</v>
      </c>
      <c r="D19" s="175"/>
      <c r="E19" s="175"/>
      <c r="F19" s="78">
        <v>100000</v>
      </c>
      <c r="G19" s="78">
        <v>100000</v>
      </c>
      <c r="H19" s="78">
        <v>100000</v>
      </c>
      <c r="I19" s="78">
        <v>100000</v>
      </c>
      <c r="J19" s="248">
        <v>100000</v>
      </c>
    </row>
    <row r="20" spans="1:12" ht="15.75" thickBot="1" x14ac:dyDescent="0.3">
      <c r="A20" s="173"/>
      <c r="B20" s="175"/>
      <c r="C20" s="175" t="s">
        <v>86</v>
      </c>
      <c r="D20" s="175"/>
      <c r="E20" s="175"/>
      <c r="F20" s="78">
        <v>102750</v>
      </c>
      <c r="G20" s="78">
        <v>102750</v>
      </c>
      <c r="H20" s="78">
        <v>102750</v>
      </c>
      <c r="I20" s="78">
        <v>102750</v>
      </c>
      <c r="J20" s="248">
        <v>102750</v>
      </c>
    </row>
    <row r="21" spans="1:12" ht="15.75" thickBot="1" x14ac:dyDescent="0.3">
      <c r="A21" s="181"/>
      <c r="B21" s="183"/>
      <c r="C21" s="183" t="s">
        <v>87</v>
      </c>
      <c r="D21" s="183"/>
      <c r="E21" s="183"/>
      <c r="F21" s="262">
        <v>281160</v>
      </c>
      <c r="G21" s="262">
        <f>SUM(G18:G20)</f>
        <v>382469.3</v>
      </c>
      <c r="H21" s="262">
        <f>SUM(H18:H20)</f>
        <v>473603.3</v>
      </c>
      <c r="I21" s="262">
        <f>SUM(I18:I20)</f>
        <v>473603.3</v>
      </c>
      <c r="J21" s="80">
        <f>SUM(J18:J20)</f>
        <v>708203.3</v>
      </c>
    </row>
    <row r="22" spans="1:12" s="232" customFormat="1" ht="30" customHeight="1" thickBot="1" x14ac:dyDescent="0.25">
      <c r="A22" s="230"/>
      <c r="B22" s="231" t="s">
        <v>88</v>
      </c>
      <c r="C22" s="231"/>
      <c r="D22" s="231"/>
      <c r="E22" s="231"/>
      <c r="F22" s="263">
        <v>37986681.833999999</v>
      </c>
      <c r="G22" s="263">
        <f t="shared" ref="G22:H22" si="10">+G12+G16+G21</f>
        <v>48380102.100000001</v>
      </c>
      <c r="H22" s="263">
        <f t="shared" si="10"/>
        <v>48951774.25</v>
      </c>
      <c r="I22" s="263">
        <f t="shared" ref="I22" si="11">+I12+I16+I21</f>
        <v>56800638.409999996</v>
      </c>
      <c r="J22" s="249">
        <f t="shared" ref="J22" si="12">+J12+J16+J21</f>
        <v>45876731.530000001</v>
      </c>
    </row>
    <row r="23" spans="1:12" ht="20.25" customHeight="1" x14ac:dyDescent="0.25">
      <c r="A23" s="173"/>
      <c r="B23" s="175" t="s">
        <v>89</v>
      </c>
      <c r="C23" s="175"/>
      <c r="D23" s="175"/>
      <c r="E23" s="175"/>
      <c r="F23" s="78"/>
      <c r="G23" s="78"/>
      <c r="H23" s="78"/>
      <c r="I23" s="78"/>
      <c r="J23" s="248"/>
    </row>
    <row r="24" spans="1:12" x14ac:dyDescent="0.25">
      <c r="A24" s="233"/>
      <c r="B24" s="175" t="s">
        <v>4</v>
      </c>
      <c r="C24" s="175"/>
      <c r="D24" s="175"/>
      <c r="E24" s="175"/>
      <c r="F24" s="78"/>
      <c r="G24" s="78"/>
      <c r="H24" s="78"/>
      <c r="I24" s="78"/>
      <c r="J24" s="248"/>
    </row>
    <row r="25" spans="1:12" x14ac:dyDescent="0.25">
      <c r="A25" s="173"/>
      <c r="B25" s="175"/>
      <c r="C25" s="175" t="s">
        <v>90</v>
      </c>
      <c r="D25" s="175"/>
      <c r="E25" s="175"/>
      <c r="F25" s="78"/>
      <c r="G25" s="78"/>
      <c r="H25" s="78"/>
      <c r="I25" s="78"/>
      <c r="J25" s="248"/>
    </row>
    <row r="26" spans="1:12" ht="15.75" thickBot="1" x14ac:dyDescent="0.3">
      <c r="A26" s="173"/>
      <c r="B26" s="175"/>
      <c r="C26" s="175" t="s">
        <v>91</v>
      </c>
      <c r="D26" s="234"/>
      <c r="E26" s="175"/>
      <c r="F26" s="78">
        <v>17688444.120000001</v>
      </c>
      <c r="G26" s="78">
        <v>23586966.960000001</v>
      </c>
      <c r="H26" s="78">
        <v>23052126.030000001</v>
      </c>
      <c r="I26" s="78">
        <v>29803075.960000001</v>
      </c>
      <c r="J26" s="248">
        <v>22436527.66</v>
      </c>
    </row>
    <row r="27" spans="1:12" ht="15.75" thickBot="1" x14ac:dyDescent="0.3">
      <c r="A27" s="181"/>
      <c r="B27" s="183"/>
      <c r="C27" s="183" t="s">
        <v>0</v>
      </c>
      <c r="D27" s="183"/>
      <c r="E27" s="183"/>
      <c r="F27" s="262">
        <v>17688444.120000001</v>
      </c>
      <c r="G27" s="262">
        <f t="shared" ref="G27:H27" si="13">ROUND(SUM(G25:G26),5)</f>
        <v>23586966.960000001</v>
      </c>
      <c r="H27" s="262">
        <f t="shared" si="13"/>
        <v>23052126.030000001</v>
      </c>
      <c r="I27" s="262">
        <f t="shared" ref="I27" si="14">ROUND(SUM(I25:I26),5)</f>
        <v>29803075.960000001</v>
      </c>
      <c r="J27" s="80">
        <f t="shared" ref="J27" si="15">ROUND(SUM(J25:J26),5)</f>
        <v>22436527.66</v>
      </c>
    </row>
    <row r="28" spans="1:12" ht="14.25" customHeight="1" x14ac:dyDescent="0.25">
      <c r="A28" s="173"/>
      <c r="B28" s="175"/>
      <c r="C28" s="175" t="s">
        <v>92</v>
      </c>
      <c r="D28" s="175"/>
      <c r="E28" s="175"/>
      <c r="F28" s="78"/>
      <c r="G28" s="78"/>
      <c r="H28" s="78"/>
      <c r="I28" s="78"/>
      <c r="J28" s="248"/>
    </row>
    <row r="29" spans="1:12" x14ac:dyDescent="0.25">
      <c r="A29" s="173"/>
      <c r="B29" s="175"/>
      <c r="C29" s="175"/>
      <c r="D29" s="175" t="s">
        <v>93</v>
      </c>
      <c r="E29" s="175"/>
      <c r="F29" s="78">
        <v>71625</v>
      </c>
      <c r="G29" s="78">
        <v>71625</v>
      </c>
      <c r="H29" s="78">
        <v>71625</v>
      </c>
      <c r="I29" s="78">
        <v>71625</v>
      </c>
      <c r="J29" s="248">
        <v>71625</v>
      </c>
    </row>
    <row r="30" spans="1:12" x14ac:dyDescent="0.25">
      <c r="A30" s="173"/>
      <c r="B30" s="175"/>
      <c r="C30" s="175"/>
      <c r="D30" s="175" t="s">
        <v>94</v>
      </c>
      <c r="E30" s="175"/>
      <c r="F30" s="78">
        <v>1317176.02</v>
      </c>
      <c r="G30" s="78">
        <v>1762813.37</v>
      </c>
      <c r="H30" s="78">
        <v>788931.69</v>
      </c>
      <c r="I30" s="78">
        <v>972008.27</v>
      </c>
      <c r="J30" s="248">
        <f>-'2. COBROS'!F76-'2. COBROS'!F90</f>
        <v>1012492.89</v>
      </c>
      <c r="K30" s="296" t="s">
        <v>3</v>
      </c>
    </row>
    <row r="31" spans="1:12" ht="15.75" thickBot="1" x14ac:dyDescent="0.3">
      <c r="A31" s="173"/>
      <c r="B31" s="175"/>
      <c r="C31" s="175"/>
      <c r="D31" s="175" t="s">
        <v>95</v>
      </c>
      <c r="E31" s="175"/>
      <c r="F31" s="78">
        <v>1004463.86</v>
      </c>
      <c r="G31" s="78">
        <v>854621.86</v>
      </c>
      <c r="H31" s="78">
        <v>1000658.86</v>
      </c>
      <c r="I31" s="78">
        <v>857621.86</v>
      </c>
      <c r="J31" s="248">
        <f>-'2. COBROS'!F93</f>
        <v>880499.86</v>
      </c>
      <c r="L31" s="295" t="s">
        <v>3</v>
      </c>
    </row>
    <row r="32" spans="1:12" ht="15.75" thickBot="1" x14ac:dyDescent="0.3">
      <c r="A32" s="181"/>
      <c r="B32" s="183"/>
      <c r="C32" s="183" t="s">
        <v>96</v>
      </c>
      <c r="D32" s="183"/>
      <c r="E32" s="183"/>
      <c r="F32" s="262">
        <v>2393264.88</v>
      </c>
      <c r="G32" s="262">
        <f t="shared" ref="G32:H32" si="16">SUM(G29:G31)</f>
        <v>2689060.23</v>
      </c>
      <c r="H32" s="262">
        <f t="shared" si="16"/>
        <v>1861215.5499999998</v>
      </c>
      <c r="I32" s="262">
        <f t="shared" ref="I32" si="17">SUM(I29:I31)</f>
        <v>1901255.13</v>
      </c>
      <c r="J32" s="80">
        <f t="shared" ref="J32" si="18">SUM(J29:J31)</f>
        <v>1964617.75</v>
      </c>
    </row>
    <row r="33" spans="1:10" ht="25.5" customHeight="1" thickBot="1" x14ac:dyDescent="0.3">
      <c r="A33" s="181"/>
      <c r="B33" s="183" t="s">
        <v>97</v>
      </c>
      <c r="C33" s="183"/>
      <c r="D33" s="183"/>
      <c r="E33" s="183"/>
      <c r="F33" s="262">
        <v>20081709</v>
      </c>
      <c r="G33" s="262">
        <f t="shared" ref="G33:H33" si="19">+G27+G32</f>
        <v>26276027.190000001</v>
      </c>
      <c r="H33" s="262">
        <f t="shared" si="19"/>
        <v>24913341.580000002</v>
      </c>
      <c r="I33" s="262">
        <f t="shared" ref="I33" si="20">+I27+I32</f>
        <v>31704331.09</v>
      </c>
      <c r="J33" s="80">
        <f t="shared" ref="J33" si="21">+J27+J32</f>
        <v>24401145.41</v>
      </c>
    </row>
    <row r="34" spans="1:10" ht="22.5" customHeight="1" x14ac:dyDescent="0.25">
      <c r="A34" s="235"/>
      <c r="B34" s="175" t="s">
        <v>5</v>
      </c>
      <c r="C34" s="175"/>
      <c r="D34" s="175"/>
      <c r="E34" s="175"/>
      <c r="F34" s="78"/>
      <c r="G34" s="78"/>
      <c r="H34" s="78"/>
      <c r="I34" s="78"/>
      <c r="J34" s="248"/>
    </row>
    <row r="35" spans="1:10" x14ac:dyDescent="0.25">
      <c r="A35" s="173"/>
      <c r="B35" s="175" t="s">
        <v>98</v>
      </c>
      <c r="C35" s="175"/>
      <c r="D35" s="175"/>
      <c r="E35" s="175"/>
      <c r="F35" s="78">
        <v>15159620.539999999</v>
      </c>
      <c r="G35" s="78">
        <f>+F37</f>
        <v>17904972.829999998</v>
      </c>
      <c r="H35" s="78">
        <f>+G37</f>
        <v>22104074.91</v>
      </c>
      <c r="I35" s="78">
        <f>+H37</f>
        <v>24038432.670000002</v>
      </c>
      <c r="J35" s="248">
        <f>+I37</f>
        <v>25096307.32</v>
      </c>
    </row>
    <row r="36" spans="1:10" ht="15.75" thickBot="1" x14ac:dyDescent="0.3">
      <c r="A36" s="173"/>
      <c r="B36" s="175" t="s">
        <v>99</v>
      </c>
      <c r="C36" s="175"/>
      <c r="D36" s="175"/>
      <c r="E36" s="175"/>
      <c r="F36" s="78">
        <v>2745352.2899999991</v>
      </c>
      <c r="G36" s="78">
        <f>+'Estado Resultados '!G58</f>
        <v>4199102.08</v>
      </c>
      <c r="H36" s="78">
        <f>+'Estado Resultados '!H58</f>
        <v>1934357.7599999984</v>
      </c>
      <c r="I36" s="78">
        <f>+'Estado Resultados '!I58</f>
        <v>1057874.6499999994</v>
      </c>
      <c r="J36" s="248">
        <f>+'Estado Resultados '!J58</f>
        <v>-3620721.1999999997</v>
      </c>
    </row>
    <row r="37" spans="1:10" ht="15.75" thickBot="1" x14ac:dyDescent="0.3">
      <c r="A37" s="181" t="s">
        <v>3</v>
      </c>
      <c r="B37" s="183" t="s">
        <v>100</v>
      </c>
      <c r="C37" s="183"/>
      <c r="D37" s="183"/>
      <c r="E37" s="183"/>
      <c r="F37" s="264">
        <v>17904972.829999998</v>
      </c>
      <c r="G37" s="264">
        <f t="shared" ref="G37:H37" si="22">ROUND(SUM(G34:G36),5)</f>
        <v>22104074.91</v>
      </c>
      <c r="H37" s="264">
        <f t="shared" si="22"/>
        <v>24038432.670000002</v>
      </c>
      <c r="I37" s="264">
        <f t="shared" ref="I37" si="23">ROUND(SUM(I34:I36),5)</f>
        <v>25096307.32</v>
      </c>
      <c r="J37" s="250">
        <f>SUM(J35:J36)</f>
        <v>21475586.120000001</v>
      </c>
    </row>
    <row r="38" spans="1:10" s="232" customFormat="1" ht="30" customHeight="1" thickBot="1" x14ac:dyDescent="0.25">
      <c r="A38" s="236"/>
      <c r="B38" s="237" t="s">
        <v>6</v>
      </c>
      <c r="C38" s="237"/>
      <c r="D38" s="237"/>
      <c r="E38" s="237"/>
      <c r="F38" s="265">
        <v>37986681.829999998</v>
      </c>
      <c r="G38" s="265">
        <f t="shared" ref="G38:H38" si="24">+G33+G37</f>
        <v>48380102.100000001</v>
      </c>
      <c r="H38" s="265">
        <f t="shared" si="24"/>
        <v>48951774.25</v>
      </c>
      <c r="I38" s="265">
        <f t="shared" ref="I38" si="25">+I33+I37</f>
        <v>56800638.409999996</v>
      </c>
      <c r="J38" s="251">
        <f t="shared" ref="J38" si="26">+J33+J37</f>
        <v>45876731.530000001</v>
      </c>
    </row>
    <row r="39" spans="1:10" ht="15.75" thickTop="1" x14ac:dyDescent="0.25">
      <c r="A39" s="233"/>
      <c r="B39" s="234"/>
      <c r="C39" s="234"/>
      <c r="D39" s="234"/>
      <c r="E39" s="234"/>
      <c r="F39" s="266"/>
      <c r="G39" s="266"/>
      <c r="H39" s="266"/>
      <c r="I39" s="266"/>
      <c r="J39" s="252"/>
    </row>
    <row r="40" spans="1:10" ht="15.75" thickBot="1" x14ac:dyDescent="0.3">
      <c r="A40" s="238"/>
      <c r="B40" s="239"/>
      <c r="C40" s="239"/>
      <c r="D40" s="239"/>
      <c r="E40" s="239"/>
      <c r="F40" s="287" t="s">
        <v>3</v>
      </c>
      <c r="G40" s="267">
        <f t="shared" ref="G40:J40" si="27">+G38-G22</f>
        <v>0</v>
      </c>
      <c r="H40" s="267">
        <f t="shared" si="27"/>
        <v>0</v>
      </c>
      <c r="I40" s="267">
        <f t="shared" si="27"/>
        <v>0</v>
      </c>
      <c r="J40" s="323">
        <f t="shared" si="27"/>
        <v>0</v>
      </c>
    </row>
    <row r="43" spans="1:10" x14ac:dyDescent="0.25">
      <c r="A43" s="198" t="s">
        <v>3</v>
      </c>
      <c r="B43" s="202"/>
    </row>
    <row r="44" spans="1:10" x14ac:dyDescent="0.25">
      <c r="A44" s="198" t="s">
        <v>3</v>
      </c>
      <c r="B44" s="202" t="s">
        <v>3</v>
      </c>
    </row>
  </sheetData>
  <pageMargins left="0.46" right="0.35433070866141736" top="1.299212598425197" bottom="0.70866141732283472" header="0.43307086614173229" footer="0.62992125984251968"/>
  <pageSetup scale="90" orientation="portrait" horizontalDpi="4294967294" r:id="rId1"/>
  <headerFooter>
    <oddHeader xml:space="preserve">&amp;C&amp;"Arial,Negrita"&amp;12 CONDOMINIO VISTAS A LA COLINA
&amp;14 Balance General (Expresado en Colones)
Enero - Mayo   2019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2.75" x14ac:dyDescent="0.2"/>
  <sheetData/>
  <phoneticPr fontId="45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pane xSplit="1" ySplit="1" topLeftCell="B71" activePane="bottomRight" state="frozenSplit"/>
      <selection activeCell="F25" sqref="F25"/>
      <selection pane="topRight" activeCell="F25" sqref="F25"/>
      <selection pane="bottomLeft" activeCell="F25" sqref="F25"/>
      <selection pane="bottomRight" activeCell="E48" sqref="E48"/>
    </sheetView>
  </sheetViews>
  <sheetFormatPr baseColWidth="10" defaultColWidth="11.42578125" defaultRowHeight="15" x14ac:dyDescent="0.25"/>
  <cols>
    <col min="1" max="1" width="2.42578125" style="186" customWidth="1"/>
    <col min="2" max="2" width="14.7109375" style="186" customWidth="1"/>
    <col min="3" max="3" width="11" style="202" customWidth="1"/>
    <col min="4" max="4" width="13.28515625" style="186" customWidth="1"/>
    <col min="5" max="5" width="45.85546875" style="186" customWidth="1"/>
    <col min="6" max="6" width="44.140625" style="186" customWidth="1"/>
    <col min="7" max="7" width="17.140625" style="186" customWidth="1"/>
    <col min="8" max="8" width="13.85546875" style="186" customWidth="1"/>
    <col min="9" max="9" width="12.7109375" style="186" bestFit="1" customWidth="1"/>
    <col min="10" max="10" width="9.140625" style="172" customWidth="1"/>
    <col min="11" max="11" width="19.7109375" style="172" customWidth="1"/>
    <col min="12" max="16384" width="11.42578125" style="172"/>
  </cols>
  <sheetData>
    <row r="1" spans="1:11" s="170" customFormat="1" ht="15.75" thickBot="1" x14ac:dyDescent="0.3">
      <c r="A1" s="166"/>
      <c r="B1" s="167" t="s">
        <v>27</v>
      </c>
      <c r="C1" s="168" t="s">
        <v>28</v>
      </c>
      <c r="D1" s="168" t="s">
        <v>29</v>
      </c>
      <c r="E1" s="168" t="s">
        <v>30</v>
      </c>
      <c r="F1" s="168" t="s">
        <v>31</v>
      </c>
      <c r="G1" s="168" t="s">
        <v>32</v>
      </c>
      <c r="H1" s="168" t="s">
        <v>33</v>
      </c>
      <c r="I1" s="169" t="s">
        <v>34</v>
      </c>
    </row>
    <row r="2" spans="1:11" x14ac:dyDescent="0.25">
      <c r="A2" s="171"/>
      <c r="B2" s="173" t="s">
        <v>61</v>
      </c>
      <c r="C2" s="174"/>
      <c r="D2" s="175"/>
      <c r="E2" s="175"/>
      <c r="F2" s="175"/>
      <c r="G2" s="176"/>
      <c r="H2" s="176"/>
      <c r="I2" s="177" t="s">
        <v>3</v>
      </c>
    </row>
    <row r="3" spans="1:11" x14ac:dyDescent="0.25">
      <c r="A3" s="171"/>
      <c r="B3" s="173" t="s">
        <v>69</v>
      </c>
      <c r="C3" s="174"/>
      <c r="D3" s="175"/>
      <c r="E3" s="175"/>
      <c r="F3" s="175"/>
      <c r="G3" s="176"/>
      <c r="H3" s="176"/>
      <c r="I3" s="177" t="s">
        <v>3</v>
      </c>
    </row>
    <row r="4" spans="1:11" x14ac:dyDescent="0.25">
      <c r="A4" s="171"/>
      <c r="B4" s="173" t="s">
        <v>70</v>
      </c>
      <c r="C4" s="174"/>
      <c r="D4" s="175"/>
      <c r="E4" s="175"/>
      <c r="F4" s="175" t="s">
        <v>162</v>
      </c>
      <c r="G4" s="193" t="s">
        <v>3</v>
      </c>
      <c r="H4" s="176"/>
      <c r="I4" s="219">
        <v>4041112.78</v>
      </c>
      <c r="K4" s="193" t="s">
        <v>3</v>
      </c>
    </row>
    <row r="5" spans="1:11" x14ac:dyDescent="0.25">
      <c r="A5" s="171"/>
      <c r="B5" s="260" t="s">
        <v>181</v>
      </c>
      <c r="C5" s="278">
        <v>43470</v>
      </c>
      <c r="D5" s="68"/>
      <c r="E5" s="68" t="s">
        <v>182</v>
      </c>
      <c r="F5" s="68" t="s">
        <v>183</v>
      </c>
      <c r="G5" s="78">
        <v>92319.31</v>
      </c>
      <c r="H5" s="78"/>
      <c r="I5" s="204">
        <f>+I4+G5-H5</f>
        <v>4133432.09</v>
      </c>
    </row>
    <row r="6" spans="1:11" x14ac:dyDescent="0.25">
      <c r="A6" s="171"/>
      <c r="B6" s="260" t="s">
        <v>181</v>
      </c>
      <c r="C6" s="278">
        <v>43470</v>
      </c>
      <c r="D6" s="68"/>
      <c r="E6" s="68" t="s">
        <v>184</v>
      </c>
      <c r="F6" s="68" t="s">
        <v>185</v>
      </c>
      <c r="G6" s="78">
        <v>206000</v>
      </c>
      <c r="H6" s="78"/>
      <c r="I6" s="204">
        <f t="shared" ref="I6:I69" si="0">+I5+G6-H6</f>
        <v>4339432.09</v>
      </c>
    </row>
    <row r="7" spans="1:11" x14ac:dyDescent="0.25">
      <c r="A7" s="171"/>
      <c r="B7" s="260" t="s">
        <v>181</v>
      </c>
      <c r="C7" s="278">
        <v>43470</v>
      </c>
      <c r="D7" s="68"/>
      <c r="E7" s="68" t="s">
        <v>186</v>
      </c>
      <c r="F7" s="68" t="s">
        <v>187</v>
      </c>
      <c r="G7" s="78">
        <v>175515.87</v>
      </c>
      <c r="H7" s="78"/>
      <c r="I7" s="204">
        <f t="shared" si="0"/>
        <v>4514947.96</v>
      </c>
    </row>
    <row r="8" spans="1:11" x14ac:dyDescent="0.25">
      <c r="A8" s="171"/>
      <c r="B8" s="260" t="s">
        <v>181</v>
      </c>
      <c r="C8" s="278">
        <v>43470</v>
      </c>
      <c r="D8" s="68"/>
      <c r="E8" s="68" t="s">
        <v>188</v>
      </c>
      <c r="F8" s="68" t="s">
        <v>189</v>
      </c>
      <c r="G8" s="78">
        <v>138683.25</v>
      </c>
      <c r="H8" s="78"/>
      <c r="I8" s="204">
        <f t="shared" si="0"/>
        <v>4653631.21</v>
      </c>
    </row>
    <row r="9" spans="1:11" x14ac:dyDescent="0.25">
      <c r="A9" s="171"/>
      <c r="B9" s="260" t="s">
        <v>190</v>
      </c>
      <c r="C9" s="278">
        <v>43501</v>
      </c>
      <c r="D9" s="68" t="s">
        <v>191</v>
      </c>
      <c r="E9" s="68" t="s">
        <v>192</v>
      </c>
      <c r="F9" s="68" t="s">
        <v>193</v>
      </c>
      <c r="G9" s="78"/>
      <c r="H9" s="78">
        <v>649298.34</v>
      </c>
      <c r="I9" s="204">
        <f t="shared" si="0"/>
        <v>4004332.87</v>
      </c>
    </row>
    <row r="10" spans="1:11" x14ac:dyDescent="0.25">
      <c r="A10" s="171"/>
      <c r="B10" s="260" t="s">
        <v>194</v>
      </c>
      <c r="C10" s="278">
        <v>43501</v>
      </c>
      <c r="D10" s="68"/>
      <c r="E10" s="68"/>
      <c r="F10" s="68" t="s">
        <v>195</v>
      </c>
      <c r="G10" s="78"/>
      <c r="H10" s="78">
        <v>301.5</v>
      </c>
      <c r="I10" s="204">
        <f t="shared" si="0"/>
        <v>4004031.37</v>
      </c>
    </row>
    <row r="11" spans="1:11" x14ac:dyDescent="0.25">
      <c r="A11" s="171"/>
      <c r="B11" s="260" t="s">
        <v>190</v>
      </c>
      <c r="C11" s="278">
        <v>43501</v>
      </c>
      <c r="D11" s="68" t="s">
        <v>196</v>
      </c>
      <c r="E11" s="68" t="s">
        <v>197</v>
      </c>
      <c r="F11" s="68" t="s">
        <v>198</v>
      </c>
      <c r="G11" s="78"/>
      <c r="H11" s="78">
        <v>28250</v>
      </c>
      <c r="I11" s="204">
        <f t="shared" si="0"/>
        <v>3975781.37</v>
      </c>
    </row>
    <row r="12" spans="1:11" x14ac:dyDescent="0.25">
      <c r="A12" s="171"/>
      <c r="B12" s="260" t="s">
        <v>194</v>
      </c>
      <c r="C12" s="278">
        <v>43501</v>
      </c>
      <c r="D12" s="68"/>
      <c r="E12" s="68"/>
      <c r="F12" s="68" t="s">
        <v>199</v>
      </c>
      <c r="G12" s="78"/>
      <c r="H12" s="78">
        <v>301.5</v>
      </c>
      <c r="I12" s="204">
        <f t="shared" si="0"/>
        <v>3975479.87</v>
      </c>
    </row>
    <row r="13" spans="1:11" x14ac:dyDescent="0.25">
      <c r="A13" s="171"/>
      <c r="B13" s="260" t="s">
        <v>190</v>
      </c>
      <c r="C13" s="278">
        <v>43501</v>
      </c>
      <c r="D13" s="68" t="s">
        <v>200</v>
      </c>
      <c r="E13" s="68" t="s">
        <v>201</v>
      </c>
      <c r="F13" s="68" t="s">
        <v>202</v>
      </c>
      <c r="G13" s="78"/>
      <c r="H13" s="78">
        <v>138700</v>
      </c>
      <c r="I13" s="204">
        <f t="shared" si="0"/>
        <v>3836779.87</v>
      </c>
    </row>
    <row r="14" spans="1:11" x14ac:dyDescent="0.25">
      <c r="A14" s="171"/>
      <c r="B14" s="260" t="s">
        <v>194</v>
      </c>
      <c r="C14" s="278">
        <v>43501</v>
      </c>
      <c r="D14" s="68"/>
      <c r="E14" s="68"/>
      <c r="F14" s="68" t="s">
        <v>203</v>
      </c>
      <c r="G14" s="78"/>
      <c r="H14" s="78">
        <v>301.5</v>
      </c>
      <c r="I14" s="204">
        <f t="shared" si="0"/>
        <v>3836478.37</v>
      </c>
    </row>
    <row r="15" spans="1:11" x14ac:dyDescent="0.25">
      <c r="A15" s="171"/>
      <c r="B15" s="260" t="s">
        <v>190</v>
      </c>
      <c r="C15" s="278">
        <v>43501</v>
      </c>
      <c r="D15" s="68" t="s">
        <v>204</v>
      </c>
      <c r="E15" s="68" t="s">
        <v>205</v>
      </c>
      <c r="F15" s="68" t="s">
        <v>206</v>
      </c>
      <c r="G15" s="78"/>
      <c r="H15" s="78">
        <v>1337259</v>
      </c>
      <c r="I15" s="204">
        <f t="shared" si="0"/>
        <v>2499219.37</v>
      </c>
    </row>
    <row r="16" spans="1:11" x14ac:dyDescent="0.25">
      <c r="A16" s="171"/>
      <c r="B16" s="260" t="s">
        <v>190</v>
      </c>
      <c r="C16" s="278">
        <v>43501</v>
      </c>
      <c r="D16" s="68" t="s">
        <v>207</v>
      </c>
      <c r="E16" s="68" t="s">
        <v>208</v>
      </c>
      <c r="F16" s="68" t="s">
        <v>209</v>
      </c>
      <c r="G16" s="78"/>
      <c r="H16" s="78">
        <v>24789.47</v>
      </c>
      <c r="I16" s="204">
        <f t="shared" si="0"/>
        <v>2474429.9</v>
      </c>
    </row>
    <row r="17" spans="1:9" x14ac:dyDescent="0.25">
      <c r="A17" s="171"/>
      <c r="B17" s="260" t="s">
        <v>210</v>
      </c>
      <c r="C17" s="278">
        <v>43501</v>
      </c>
      <c r="D17" s="68" t="s">
        <v>211</v>
      </c>
      <c r="E17" s="68" t="s">
        <v>212</v>
      </c>
      <c r="F17" s="68" t="s">
        <v>213</v>
      </c>
      <c r="G17" s="78"/>
      <c r="H17" s="78">
        <v>8190</v>
      </c>
      <c r="I17" s="204">
        <f t="shared" si="0"/>
        <v>2466239.9</v>
      </c>
    </row>
    <row r="18" spans="1:9" x14ac:dyDescent="0.25">
      <c r="A18" s="171"/>
      <c r="B18" s="260" t="s">
        <v>210</v>
      </c>
      <c r="C18" s="278">
        <v>43501</v>
      </c>
      <c r="D18" s="68" t="s">
        <v>214</v>
      </c>
      <c r="E18" s="68" t="s">
        <v>215</v>
      </c>
      <c r="F18" s="68" t="s">
        <v>216</v>
      </c>
      <c r="G18" s="78"/>
      <c r="H18" s="78">
        <v>23090</v>
      </c>
      <c r="I18" s="204">
        <f t="shared" si="0"/>
        <v>2443149.9</v>
      </c>
    </row>
    <row r="19" spans="1:9" x14ac:dyDescent="0.25">
      <c r="A19" s="171"/>
      <c r="B19" s="260" t="s">
        <v>210</v>
      </c>
      <c r="C19" s="278">
        <v>43501</v>
      </c>
      <c r="D19" s="68" t="s">
        <v>217</v>
      </c>
      <c r="E19" s="68" t="s">
        <v>215</v>
      </c>
      <c r="F19" s="68" t="s">
        <v>216</v>
      </c>
      <c r="G19" s="78"/>
      <c r="H19" s="78">
        <v>23090</v>
      </c>
      <c r="I19" s="204">
        <f t="shared" si="0"/>
        <v>2420059.9</v>
      </c>
    </row>
    <row r="20" spans="1:9" x14ac:dyDescent="0.25">
      <c r="A20" s="171"/>
      <c r="B20" s="260" t="s">
        <v>210</v>
      </c>
      <c r="C20" s="278">
        <v>43501</v>
      </c>
      <c r="D20" s="68" t="s">
        <v>218</v>
      </c>
      <c r="E20" s="68" t="s">
        <v>215</v>
      </c>
      <c r="F20" s="68" t="s">
        <v>219</v>
      </c>
      <c r="G20" s="78"/>
      <c r="H20" s="78">
        <v>20168</v>
      </c>
      <c r="I20" s="204">
        <f t="shared" si="0"/>
        <v>2399891.9</v>
      </c>
    </row>
    <row r="21" spans="1:9" x14ac:dyDescent="0.25">
      <c r="A21" s="171"/>
      <c r="B21" s="260" t="s">
        <v>210</v>
      </c>
      <c r="C21" s="278">
        <v>43501</v>
      </c>
      <c r="D21" s="68" t="s">
        <v>220</v>
      </c>
      <c r="E21" s="68" t="s">
        <v>215</v>
      </c>
      <c r="F21" s="68" t="s">
        <v>219</v>
      </c>
      <c r="G21" s="78"/>
      <c r="H21" s="78">
        <v>11265</v>
      </c>
      <c r="I21" s="204">
        <f t="shared" si="0"/>
        <v>2388626.9</v>
      </c>
    </row>
    <row r="22" spans="1:9" x14ac:dyDescent="0.25">
      <c r="A22" s="171"/>
      <c r="B22" s="260" t="s">
        <v>181</v>
      </c>
      <c r="C22" s="278">
        <v>43501</v>
      </c>
      <c r="D22" s="68"/>
      <c r="E22" s="68" t="s">
        <v>221</v>
      </c>
      <c r="F22" s="68" t="s">
        <v>222</v>
      </c>
      <c r="G22" s="78">
        <v>8037</v>
      </c>
      <c r="H22" s="78"/>
      <c r="I22" s="204">
        <f t="shared" si="0"/>
        <v>2396663.9</v>
      </c>
    </row>
    <row r="23" spans="1:9" x14ac:dyDescent="0.25">
      <c r="A23" s="171"/>
      <c r="B23" s="260" t="s">
        <v>181</v>
      </c>
      <c r="C23" s="278">
        <v>43501</v>
      </c>
      <c r="D23" s="68"/>
      <c r="E23" s="68" t="s">
        <v>223</v>
      </c>
      <c r="F23" s="68" t="s">
        <v>224</v>
      </c>
      <c r="G23" s="78">
        <v>300000</v>
      </c>
      <c r="H23" s="78"/>
      <c r="I23" s="204">
        <f t="shared" si="0"/>
        <v>2696663.9</v>
      </c>
    </row>
    <row r="24" spans="1:9" x14ac:dyDescent="0.25">
      <c r="A24" s="171"/>
      <c r="B24" s="260" t="s">
        <v>181</v>
      </c>
      <c r="C24" s="278">
        <v>43501</v>
      </c>
      <c r="D24" s="68"/>
      <c r="E24" s="68" t="s">
        <v>225</v>
      </c>
      <c r="F24" s="68" t="s">
        <v>226</v>
      </c>
      <c r="G24" s="78">
        <v>168633.29</v>
      </c>
      <c r="H24" s="78"/>
      <c r="I24" s="204">
        <f t="shared" si="0"/>
        <v>2865297.19</v>
      </c>
    </row>
    <row r="25" spans="1:9" x14ac:dyDescent="0.25">
      <c r="A25" s="171"/>
      <c r="B25" s="260" t="s">
        <v>181</v>
      </c>
      <c r="C25" s="278">
        <v>43501</v>
      </c>
      <c r="D25" s="68"/>
      <c r="E25" s="68" t="s">
        <v>227</v>
      </c>
      <c r="F25" s="68" t="s">
        <v>228</v>
      </c>
      <c r="G25" s="78">
        <v>132936.21</v>
      </c>
      <c r="H25" s="78"/>
      <c r="I25" s="204">
        <f t="shared" si="0"/>
        <v>2998233.4</v>
      </c>
    </row>
    <row r="26" spans="1:9" x14ac:dyDescent="0.25">
      <c r="A26" s="171"/>
      <c r="B26" s="260" t="s">
        <v>181</v>
      </c>
      <c r="C26" s="278">
        <v>43529</v>
      </c>
      <c r="D26" s="68"/>
      <c r="E26" s="68" t="s">
        <v>229</v>
      </c>
      <c r="F26" s="68" t="s">
        <v>230</v>
      </c>
      <c r="G26" s="78">
        <v>200460.26</v>
      </c>
      <c r="H26" s="78"/>
      <c r="I26" s="204">
        <f t="shared" si="0"/>
        <v>3198693.66</v>
      </c>
    </row>
    <row r="27" spans="1:9" x14ac:dyDescent="0.25">
      <c r="A27" s="171"/>
      <c r="B27" s="260" t="s">
        <v>181</v>
      </c>
      <c r="C27" s="278">
        <v>43529</v>
      </c>
      <c r="D27" s="68"/>
      <c r="E27" s="68" t="s">
        <v>231</v>
      </c>
      <c r="F27" s="68" t="s">
        <v>232</v>
      </c>
      <c r="G27" s="78">
        <v>138124.13</v>
      </c>
      <c r="H27" s="78"/>
      <c r="I27" s="204">
        <f t="shared" si="0"/>
        <v>3336817.79</v>
      </c>
    </row>
    <row r="28" spans="1:9" x14ac:dyDescent="0.25">
      <c r="A28" s="171"/>
      <c r="B28" s="260" t="s">
        <v>181</v>
      </c>
      <c r="C28" s="278">
        <v>43529</v>
      </c>
      <c r="D28" s="68"/>
      <c r="E28" s="68" t="s">
        <v>233</v>
      </c>
      <c r="F28" s="68" t="s">
        <v>234</v>
      </c>
      <c r="G28" s="78">
        <v>5195</v>
      </c>
      <c r="H28" s="78"/>
      <c r="I28" s="204">
        <f t="shared" si="0"/>
        <v>3342012.79</v>
      </c>
    </row>
    <row r="29" spans="1:9" x14ac:dyDescent="0.25">
      <c r="A29" s="171"/>
      <c r="B29" s="260" t="s">
        <v>235</v>
      </c>
      <c r="C29" s="278">
        <v>43529</v>
      </c>
      <c r="D29" s="68"/>
      <c r="E29" s="68"/>
      <c r="F29" s="68" t="s">
        <v>236</v>
      </c>
      <c r="G29" s="78">
        <v>273121.27</v>
      </c>
      <c r="H29" s="78"/>
      <c r="I29" s="204">
        <f t="shared" si="0"/>
        <v>3615134.06</v>
      </c>
    </row>
    <row r="30" spans="1:9" x14ac:dyDescent="0.25">
      <c r="A30" s="171"/>
      <c r="B30" s="260" t="s">
        <v>181</v>
      </c>
      <c r="C30" s="278">
        <v>43529</v>
      </c>
      <c r="D30" s="68"/>
      <c r="E30" s="68" t="s">
        <v>237</v>
      </c>
      <c r="F30" s="68" t="s">
        <v>238</v>
      </c>
      <c r="G30" s="78">
        <v>132537</v>
      </c>
      <c r="H30" s="78"/>
      <c r="I30" s="204">
        <f t="shared" si="0"/>
        <v>3747671.06</v>
      </c>
    </row>
    <row r="31" spans="1:9" x14ac:dyDescent="0.25">
      <c r="A31" s="171"/>
      <c r="B31" s="260" t="s">
        <v>181</v>
      </c>
      <c r="C31" s="278">
        <v>43529</v>
      </c>
      <c r="D31" s="68"/>
      <c r="E31" s="68" t="s">
        <v>239</v>
      </c>
      <c r="F31" s="68" t="s">
        <v>240</v>
      </c>
      <c r="G31" s="78">
        <v>2000</v>
      </c>
      <c r="H31" s="78"/>
      <c r="I31" s="204">
        <f t="shared" si="0"/>
        <v>3749671.06</v>
      </c>
    </row>
    <row r="32" spans="1:9" x14ac:dyDescent="0.25">
      <c r="A32" s="171"/>
      <c r="B32" s="260" t="s">
        <v>181</v>
      </c>
      <c r="C32" s="278">
        <v>43590</v>
      </c>
      <c r="D32" s="68"/>
      <c r="E32" s="68" t="s">
        <v>241</v>
      </c>
      <c r="F32" s="68" t="s">
        <v>242</v>
      </c>
      <c r="G32" s="78">
        <v>92408.13</v>
      </c>
      <c r="H32" s="78"/>
      <c r="I32" s="204">
        <f t="shared" si="0"/>
        <v>3842079.19</v>
      </c>
    </row>
    <row r="33" spans="1:9" x14ac:dyDescent="0.25">
      <c r="A33" s="171"/>
      <c r="B33" s="260" t="s">
        <v>210</v>
      </c>
      <c r="C33" s="278">
        <v>43621</v>
      </c>
      <c r="D33" s="68" t="s">
        <v>243</v>
      </c>
      <c r="E33" s="68" t="s">
        <v>244</v>
      </c>
      <c r="F33" s="68" t="s">
        <v>245</v>
      </c>
      <c r="G33" s="78"/>
      <c r="H33" s="78">
        <v>67410</v>
      </c>
      <c r="I33" s="204">
        <f t="shared" si="0"/>
        <v>3774669.19</v>
      </c>
    </row>
    <row r="34" spans="1:9" x14ac:dyDescent="0.25">
      <c r="A34" s="171"/>
      <c r="B34" s="260" t="s">
        <v>210</v>
      </c>
      <c r="C34" s="278">
        <v>43621</v>
      </c>
      <c r="D34" s="68" t="s">
        <v>246</v>
      </c>
      <c r="E34" s="68" t="s">
        <v>244</v>
      </c>
      <c r="F34" s="68" t="s">
        <v>247</v>
      </c>
      <c r="G34" s="78"/>
      <c r="H34" s="78">
        <v>108750</v>
      </c>
      <c r="I34" s="204">
        <f t="shared" si="0"/>
        <v>3665919.19</v>
      </c>
    </row>
    <row r="35" spans="1:9" x14ac:dyDescent="0.25">
      <c r="A35" s="171"/>
      <c r="B35" s="260" t="s">
        <v>210</v>
      </c>
      <c r="C35" s="278">
        <v>43621</v>
      </c>
      <c r="D35" s="68" t="s">
        <v>248</v>
      </c>
      <c r="E35" s="68" t="s">
        <v>244</v>
      </c>
      <c r="F35" s="68" t="s">
        <v>247</v>
      </c>
      <c r="G35" s="78"/>
      <c r="H35" s="78">
        <v>867105</v>
      </c>
      <c r="I35" s="204">
        <f t="shared" si="0"/>
        <v>2798814.19</v>
      </c>
    </row>
    <row r="36" spans="1:9" x14ac:dyDescent="0.25">
      <c r="A36" s="171"/>
      <c r="B36" s="260" t="s">
        <v>181</v>
      </c>
      <c r="C36" s="278">
        <v>43651</v>
      </c>
      <c r="D36" s="68"/>
      <c r="E36" s="68" t="s">
        <v>249</v>
      </c>
      <c r="F36" s="68" t="s">
        <v>250</v>
      </c>
      <c r="G36" s="78">
        <v>168634.75</v>
      </c>
      <c r="H36" s="78"/>
      <c r="I36" s="204">
        <f t="shared" si="0"/>
        <v>2967448.94</v>
      </c>
    </row>
    <row r="37" spans="1:9" x14ac:dyDescent="0.25">
      <c r="A37" s="171"/>
      <c r="B37" s="260" t="s">
        <v>181</v>
      </c>
      <c r="C37" s="278">
        <v>43651</v>
      </c>
      <c r="D37" s="68"/>
      <c r="E37" s="68" t="s">
        <v>251</v>
      </c>
      <c r="F37" s="68" t="s">
        <v>252</v>
      </c>
      <c r="G37" s="78">
        <v>201665.54</v>
      </c>
      <c r="H37" s="78"/>
      <c r="I37" s="204">
        <f t="shared" si="0"/>
        <v>3169114.48</v>
      </c>
    </row>
    <row r="38" spans="1:9" x14ac:dyDescent="0.25">
      <c r="A38" s="171"/>
      <c r="B38" s="260" t="s">
        <v>181</v>
      </c>
      <c r="C38" s="278">
        <v>43682</v>
      </c>
      <c r="D38" s="68"/>
      <c r="E38" s="68" t="s">
        <v>253</v>
      </c>
      <c r="F38" s="68" t="s">
        <v>254</v>
      </c>
      <c r="G38" s="78">
        <v>201580</v>
      </c>
      <c r="H38" s="78"/>
      <c r="I38" s="204">
        <f t="shared" si="0"/>
        <v>3370694.48</v>
      </c>
    </row>
    <row r="39" spans="1:9" x14ac:dyDescent="0.25">
      <c r="A39" s="171"/>
      <c r="B39" s="260" t="s">
        <v>181</v>
      </c>
      <c r="C39" s="278">
        <v>43682</v>
      </c>
      <c r="D39" s="68"/>
      <c r="E39" s="68" t="s">
        <v>255</v>
      </c>
      <c r="F39" s="68" t="s">
        <v>256</v>
      </c>
      <c r="G39" s="78">
        <v>152077.28</v>
      </c>
      <c r="H39" s="78"/>
      <c r="I39" s="204">
        <f t="shared" si="0"/>
        <v>3522771.76</v>
      </c>
    </row>
    <row r="40" spans="1:9" x14ac:dyDescent="0.25">
      <c r="A40" s="171"/>
      <c r="B40" s="260" t="s">
        <v>181</v>
      </c>
      <c r="C40" s="278">
        <v>43682</v>
      </c>
      <c r="D40" s="68"/>
      <c r="E40" s="68" t="s">
        <v>257</v>
      </c>
      <c r="F40" s="68" t="s">
        <v>258</v>
      </c>
      <c r="G40" s="78">
        <v>160221.1</v>
      </c>
      <c r="H40" s="78"/>
      <c r="I40" s="204">
        <f t="shared" si="0"/>
        <v>3682992.86</v>
      </c>
    </row>
    <row r="41" spans="1:9" x14ac:dyDescent="0.25">
      <c r="A41" s="171"/>
      <c r="B41" s="260" t="s">
        <v>181</v>
      </c>
      <c r="C41" s="278">
        <v>43682</v>
      </c>
      <c r="D41" s="68"/>
      <c r="E41" s="68" t="s">
        <v>257</v>
      </c>
      <c r="F41" s="68" t="s">
        <v>259</v>
      </c>
      <c r="G41" s="78">
        <v>160005.1</v>
      </c>
      <c r="H41" s="78"/>
      <c r="I41" s="204">
        <f t="shared" si="0"/>
        <v>3842997.96</v>
      </c>
    </row>
    <row r="42" spans="1:9" x14ac:dyDescent="0.25">
      <c r="A42" s="171"/>
      <c r="B42" s="260" t="s">
        <v>181</v>
      </c>
      <c r="C42" s="278">
        <v>43713</v>
      </c>
      <c r="D42" s="68"/>
      <c r="E42" s="68" t="s">
        <v>260</v>
      </c>
      <c r="F42" s="68" t="s">
        <v>261</v>
      </c>
      <c r="G42" s="78">
        <v>135000</v>
      </c>
      <c r="H42" s="78"/>
      <c r="I42" s="204">
        <f t="shared" si="0"/>
        <v>3977997.96</v>
      </c>
    </row>
    <row r="43" spans="1:9" x14ac:dyDescent="0.25">
      <c r="A43" s="171"/>
      <c r="B43" s="260" t="s">
        <v>181</v>
      </c>
      <c r="C43" s="278">
        <v>43713</v>
      </c>
      <c r="D43" s="68"/>
      <c r="E43" s="68" t="s">
        <v>262</v>
      </c>
      <c r="F43" s="68" t="s">
        <v>263</v>
      </c>
      <c r="G43" s="78">
        <v>135920</v>
      </c>
      <c r="H43" s="78"/>
      <c r="I43" s="204">
        <f t="shared" si="0"/>
        <v>4113917.96</v>
      </c>
    </row>
    <row r="44" spans="1:9" ht="15.75" thickBot="1" x14ac:dyDescent="0.3">
      <c r="A44" s="171"/>
      <c r="B44" s="299" t="s">
        <v>181</v>
      </c>
      <c r="C44" s="300">
        <v>43713</v>
      </c>
      <c r="D44" s="277"/>
      <c r="E44" s="277" t="s">
        <v>264</v>
      </c>
      <c r="F44" s="277" t="s">
        <v>265</v>
      </c>
      <c r="G44" s="275">
        <v>156706.35</v>
      </c>
      <c r="H44" s="275"/>
      <c r="I44" s="301">
        <f t="shared" si="0"/>
        <v>4270624.3099999996</v>
      </c>
    </row>
    <row r="45" spans="1:9" x14ac:dyDescent="0.25">
      <c r="A45" s="171"/>
      <c r="B45" s="260" t="s">
        <v>181</v>
      </c>
      <c r="C45" s="278">
        <v>43743</v>
      </c>
      <c r="D45" s="68"/>
      <c r="E45" s="68" t="s">
        <v>266</v>
      </c>
      <c r="F45" s="68" t="s">
        <v>267</v>
      </c>
      <c r="G45" s="78">
        <v>106292.8</v>
      </c>
      <c r="H45" s="78"/>
      <c r="I45" s="204">
        <f t="shared" si="0"/>
        <v>4376917.1099999994</v>
      </c>
    </row>
    <row r="46" spans="1:9" x14ac:dyDescent="0.25">
      <c r="A46" s="171"/>
      <c r="B46" s="260" t="s">
        <v>181</v>
      </c>
      <c r="C46" s="278">
        <v>43743</v>
      </c>
      <c r="D46" s="68"/>
      <c r="E46" s="68" t="s">
        <v>268</v>
      </c>
      <c r="F46" s="68" t="s">
        <v>269</v>
      </c>
      <c r="G46" s="78">
        <v>137022</v>
      </c>
      <c r="H46" s="78"/>
      <c r="I46" s="204">
        <f t="shared" si="0"/>
        <v>4513939.1099999994</v>
      </c>
    </row>
    <row r="47" spans="1:9" x14ac:dyDescent="0.25">
      <c r="A47" s="171"/>
      <c r="B47" s="260" t="s">
        <v>181</v>
      </c>
      <c r="C47" s="278">
        <v>43743</v>
      </c>
      <c r="D47" s="68"/>
      <c r="E47" s="68" t="s">
        <v>270</v>
      </c>
      <c r="F47" s="68" t="s">
        <v>271</v>
      </c>
      <c r="G47" s="78">
        <v>161676.35</v>
      </c>
      <c r="H47" s="78"/>
      <c r="I47" s="204">
        <f t="shared" si="0"/>
        <v>4675615.459999999</v>
      </c>
    </row>
    <row r="48" spans="1:9" x14ac:dyDescent="0.25">
      <c r="A48" s="171"/>
      <c r="B48" s="260" t="s">
        <v>181</v>
      </c>
      <c r="C48" s="278">
        <v>43743</v>
      </c>
      <c r="D48" s="68"/>
      <c r="E48" s="68" t="s">
        <v>272</v>
      </c>
      <c r="F48" s="68" t="s">
        <v>273</v>
      </c>
      <c r="G48" s="78">
        <v>160114</v>
      </c>
      <c r="H48" s="78"/>
      <c r="I48" s="204">
        <f t="shared" si="0"/>
        <v>4835729.459999999</v>
      </c>
    </row>
    <row r="49" spans="1:9" x14ac:dyDescent="0.25">
      <c r="A49" s="171"/>
      <c r="B49" s="260" t="s">
        <v>181</v>
      </c>
      <c r="C49" s="278">
        <v>43743</v>
      </c>
      <c r="D49" s="68"/>
      <c r="E49" s="68" t="s">
        <v>274</v>
      </c>
      <c r="F49" s="68" t="s">
        <v>275</v>
      </c>
      <c r="G49" s="78">
        <v>2355</v>
      </c>
      <c r="H49" s="78"/>
      <c r="I49" s="204">
        <f t="shared" si="0"/>
        <v>4838084.459999999</v>
      </c>
    </row>
    <row r="50" spans="1:9" x14ac:dyDescent="0.25">
      <c r="A50" s="171"/>
      <c r="B50" s="260" t="s">
        <v>181</v>
      </c>
      <c r="C50" s="278">
        <v>43774</v>
      </c>
      <c r="D50" s="68"/>
      <c r="E50" s="68" t="s">
        <v>276</v>
      </c>
      <c r="F50" s="68" t="s">
        <v>277</v>
      </c>
      <c r="G50" s="78">
        <v>173794</v>
      </c>
      <c r="H50" s="78"/>
      <c r="I50" s="204">
        <f t="shared" si="0"/>
        <v>5011878.459999999</v>
      </c>
    </row>
    <row r="51" spans="1:9" x14ac:dyDescent="0.25">
      <c r="A51" s="171"/>
      <c r="B51" s="260" t="s">
        <v>181</v>
      </c>
      <c r="C51" s="278" t="s">
        <v>278</v>
      </c>
      <c r="D51" s="68"/>
      <c r="E51" s="68" t="s">
        <v>279</v>
      </c>
      <c r="F51" s="68" t="s">
        <v>280</v>
      </c>
      <c r="G51" s="78">
        <v>171895</v>
      </c>
      <c r="H51" s="78"/>
      <c r="I51" s="204">
        <f t="shared" si="0"/>
        <v>5183773.459999999</v>
      </c>
    </row>
    <row r="52" spans="1:9" x14ac:dyDescent="0.25">
      <c r="A52" s="171"/>
      <c r="B52" s="260" t="s">
        <v>181</v>
      </c>
      <c r="C52" s="278" t="s">
        <v>278</v>
      </c>
      <c r="D52" s="68"/>
      <c r="E52" s="68" t="s">
        <v>281</v>
      </c>
      <c r="F52" s="68" t="s">
        <v>282</v>
      </c>
      <c r="G52" s="78">
        <v>195308.31</v>
      </c>
      <c r="H52" s="78"/>
      <c r="I52" s="204">
        <f t="shared" si="0"/>
        <v>5379081.7699999986</v>
      </c>
    </row>
    <row r="53" spans="1:9" x14ac:dyDescent="0.25">
      <c r="A53" s="171"/>
      <c r="B53" s="260" t="s">
        <v>181</v>
      </c>
      <c r="C53" s="278" t="s">
        <v>278</v>
      </c>
      <c r="D53" s="68"/>
      <c r="E53" s="68" t="s">
        <v>283</v>
      </c>
      <c r="F53" s="68" t="s">
        <v>284</v>
      </c>
      <c r="G53" s="78">
        <v>102675.7</v>
      </c>
      <c r="H53" s="78"/>
      <c r="I53" s="204">
        <f t="shared" si="0"/>
        <v>5481757.4699999988</v>
      </c>
    </row>
    <row r="54" spans="1:9" x14ac:dyDescent="0.25">
      <c r="A54" s="171"/>
      <c r="B54" s="260" t="s">
        <v>181</v>
      </c>
      <c r="C54" s="278" t="s">
        <v>278</v>
      </c>
      <c r="D54" s="68"/>
      <c r="E54" s="68" t="s">
        <v>285</v>
      </c>
      <c r="F54" s="68" t="s">
        <v>286</v>
      </c>
      <c r="G54" s="78">
        <v>192120</v>
      </c>
      <c r="H54" s="78"/>
      <c r="I54" s="204">
        <f t="shared" si="0"/>
        <v>5673877.4699999988</v>
      </c>
    </row>
    <row r="55" spans="1:9" x14ac:dyDescent="0.25">
      <c r="A55" s="171"/>
      <c r="B55" s="260" t="s">
        <v>181</v>
      </c>
      <c r="C55" s="278" t="s">
        <v>278</v>
      </c>
      <c r="D55" s="68"/>
      <c r="E55" s="68" t="s">
        <v>287</v>
      </c>
      <c r="F55" s="68" t="s">
        <v>288</v>
      </c>
      <c r="G55" s="78">
        <v>51872.52</v>
      </c>
      <c r="H55" s="78"/>
      <c r="I55" s="204">
        <f t="shared" si="0"/>
        <v>5725749.9899999984</v>
      </c>
    </row>
    <row r="56" spans="1:9" x14ac:dyDescent="0.25">
      <c r="A56" s="171"/>
      <c r="B56" s="260" t="s">
        <v>235</v>
      </c>
      <c r="C56" s="278" t="s">
        <v>278</v>
      </c>
      <c r="D56" s="68"/>
      <c r="E56" s="68"/>
      <c r="F56" s="68" t="s">
        <v>289</v>
      </c>
      <c r="G56" s="78">
        <v>221444.15</v>
      </c>
      <c r="H56" s="78"/>
      <c r="I56" s="204">
        <f t="shared" si="0"/>
        <v>5947194.1399999987</v>
      </c>
    </row>
    <row r="57" spans="1:9" x14ac:dyDescent="0.25">
      <c r="A57" s="171"/>
      <c r="B57" s="260" t="s">
        <v>181</v>
      </c>
      <c r="C57" s="278" t="s">
        <v>278</v>
      </c>
      <c r="D57" s="68"/>
      <c r="E57" s="68" t="s">
        <v>290</v>
      </c>
      <c r="F57" s="68" t="s">
        <v>291</v>
      </c>
      <c r="G57" s="78">
        <v>4485</v>
      </c>
      <c r="H57" s="78"/>
      <c r="I57" s="204">
        <f t="shared" si="0"/>
        <v>5951679.1399999987</v>
      </c>
    </row>
    <row r="58" spans="1:9" x14ac:dyDescent="0.25">
      <c r="A58" s="171"/>
      <c r="B58" s="260" t="s">
        <v>210</v>
      </c>
      <c r="C58" s="278" t="s">
        <v>292</v>
      </c>
      <c r="D58" s="68" t="s">
        <v>293</v>
      </c>
      <c r="E58" s="68" t="s">
        <v>294</v>
      </c>
      <c r="F58" s="68" t="s">
        <v>295</v>
      </c>
      <c r="G58" s="78"/>
      <c r="H58" s="78">
        <v>2769736</v>
      </c>
      <c r="I58" s="204">
        <f t="shared" si="0"/>
        <v>3181943.1399999987</v>
      </c>
    </row>
    <row r="59" spans="1:9" x14ac:dyDescent="0.25">
      <c r="A59" s="171"/>
      <c r="B59" s="260" t="s">
        <v>190</v>
      </c>
      <c r="C59" s="278" t="s">
        <v>292</v>
      </c>
      <c r="D59" s="68" t="s">
        <v>296</v>
      </c>
      <c r="E59" s="68" t="s">
        <v>297</v>
      </c>
      <c r="F59" s="68" t="s">
        <v>298</v>
      </c>
      <c r="G59" s="78"/>
      <c r="H59" s="78">
        <v>120000</v>
      </c>
      <c r="I59" s="204">
        <f t="shared" si="0"/>
        <v>3061943.1399999987</v>
      </c>
    </row>
    <row r="60" spans="1:9" x14ac:dyDescent="0.25">
      <c r="A60" s="171"/>
      <c r="B60" s="260" t="s">
        <v>190</v>
      </c>
      <c r="C60" s="278" t="s">
        <v>292</v>
      </c>
      <c r="D60" s="68" t="s">
        <v>299</v>
      </c>
      <c r="E60" s="68" t="s">
        <v>205</v>
      </c>
      <c r="F60" s="68" t="s">
        <v>300</v>
      </c>
      <c r="G60" s="78"/>
      <c r="H60" s="78">
        <v>850000</v>
      </c>
      <c r="I60" s="204">
        <f t="shared" si="0"/>
        <v>2211943.1399999987</v>
      </c>
    </row>
    <row r="61" spans="1:9" x14ac:dyDescent="0.25">
      <c r="A61" s="171"/>
      <c r="B61" s="260" t="s">
        <v>190</v>
      </c>
      <c r="C61" s="278" t="s">
        <v>292</v>
      </c>
      <c r="D61" s="68" t="s">
        <v>301</v>
      </c>
      <c r="E61" s="68" t="s">
        <v>302</v>
      </c>
      <c r="F61" s="68" t="s">
        <v>303</v>
      </c>
      <c r="G61" s="78"/>
      <c r="H61" s="78">
        <v>120000</v>
      </c>
      <c r="I61" s="204">
        <f t="shared" si="0"/>
        <v>2091943.1399999987</v>
      </c>
    </row>
    <row r="62" spans="1:9" x14ac:dyDescent="0.25">
      <c r="A62" s="171"/>
      <c r="B62" s="260" t="s">
        <v>190</v>
      </c>
      <c r="C62" s="278" t="s">
        <v>292</v>
      </c>
      <c r="D62" s="68" t="s">
        <v>304</v>
      </c>
      <c r="E62" s="68" t="s">
        <v>208</v>
      </c>
      <c r="F62" s="68" t="s">
        <v>305</v>
      </c>
      <c r="G62" s="78"/>
      <c r="H62" s="78">
        <v>58905.67</v>
      </c>
      <c r="I62" s="204">
        <f t="shared" si="0"/>
        <v>2033037.4699999988</v>
      </c>
    </row>
    <row r="63" spans="1:9" x14ac:dyDescent="0.25">
      <c r="A63" s="171"/>
      <c r="B63" s="260" t="s">
        <v>190</v>
      </c>
      <c r="C63" s="278" t="s">
        <v>292</v>
      </c>
      <c r="D63" s="68" t="s">
        <v>306</v>
      </c>
      <c r="E63" s="68" t="s">
        <v>208</v>
      </c>
      <c r="F63" s="68" t="s">
        <v>307</v>
      </c>
      <c r="G63" s="78"/>
      <c r="H63" s="78">
        <v>29619.01</v>
      </c>
      <c r="I63" s="204">
        <f t="shared" si="0"/>
        <v>2003418.4599999988</v>
      </c>
    </row>
    <row r="64" spans="1:9" x14ac:dyDescent="0.25">
      <c r="A64" s="171"/>
      <c r="B64" s="260" t="s">
        <v>190</v>
      </c>
      <c r="C64" s="278" t="s">
        <v>292</v>
      </c>
      <c r="D64" s="68" t="s">
        <v>308</v>
      </c>
      <c r="E64" s="68" t="s">
        <v>302</v>
      </c>
      <c r="F64" s="68" t="s">
        <v>309</v>
      </c>
      <c r="G64" s="78"/>
      <c r="H64" s="78">
        <v>45000</v>
      </c>
      <c r="I64" s="204">
        <f t="shared" si="0"/>
        <v>1958418.4599999988</v>
      </c>
    </row>
    <row r="65" spans="1:11" x14ac:dyDescent="0.25">
      <c r="A65" s="171"/>
      <c r="B65" s="260" t="s">
        <v>190</v>
      </c>
      <c r="C65" s="278" t="s">
        <v>292</v>
      </c>
      <c r="D65" s="68" t="s">
        <v>310</v>
      </c>
      <c r="E65" s="68" t="s">
        <v>208</v>
      </c>
      <c r="F65" s="68" t="s">
        <v>311</v>
      </c>
      <c r="G65" s="78"/>
      <c r="H65" s="78">
        <v>39717.01</v>
      </c>
      <c r="I65" s="204">
        <f t="shared" si="0"/>
        <v>1918701.4499999988</v>
      </c>
    </row>
    <row r="66" spans="1:11" x14ac:dyDescent="0.25">
      <c r="A66" s="171"/>
      <c r="B66" s="260" t="s">
        <v>181</v>
      </c>
      <c r="C66" s="278" t="s">
        <v>292</v>
      </c>
      <c r="D66" s="68"/>
      <c r="E66" s="68" t="s">
        <v>312</v>
      </c>
      <c r="F66" s="68" t="s">
        <v>313</v>
      </c>
      <c r="G66" s="78">
        <v>10173</v>
      </c>
      <c r="H66" s="78"/>
      <c r="I66" s="204">
        <f t="shared" si="0"/>
        <v>1928874.4499999988</v>
      </c>
    </row>
    <row r="67" spans="1:11" x14ac:dyDescent="0.25">
      <c r="A67" s="171"/>
      <c r="B67" s="260" t="s">
        <v>181</v>
      </c>
      <c r="C67" s="278" t="s">
        <v>292</v>
      </c>
      <c r="D67" s="68"/>
      <c r="E67" s="68" t="s">
        <v>312</v>
      </c>
      <c r="F67" s="68" t="s">
        <v>314</v>
      </c>
      <c r="G67" s="78">
        <v>8957</v>
      </c>
      <c r="H67" s="78"/>
      <c r="I67" s="204">
        <f t="shared" si="0"/>
        <v>1937831.4499999988</v>
      </c>
    </row>
    <row r="68" spans="1:11" x14ac:dyDescent="0.25">
      <c r="A68" s="171"/>
      <c r="B68" s="260" t="s">
        <v>181</v>
      </c>
      <c r="C68" s="278" t="s">
        <v>292</v>
      </c>
      <c r="D68" s="68"/>
      <c r="E68" s="68" t="s">
        <v>315</v>
      </c>
      <c r="F68" s="68" t="s">
        <v>316</v>
      </c>
      <c r="G68" s="78">
        <v>132536.92000000001</v>
      </c>
      <c r="H68" s="78"/>
      <c r="I68" s="204">
        <f t="shared" si="0"/>
        <v>2070368.3699999987</v>
      </c>
    </row>
    <row r="69" spans="1:11" x14ac:dyDescent="0.25">
      <c r="A69" s="171"/>
      <c r="B69" s="260" t="s">
        <v>181</v>
      </c>
      <c r="C69" s="278" t="s">
        <v>292</v>
      </c>
      <c r="D69" s="68"/>
      <c r="E69" s="68" t="s">
        <v>274</v>
      </c>
      <c r="F69" s="68" t="s">
        <v>317</v>
      </c>
      <c r="G69" s="78">
        <v>20523</v>
      </c>
      <c r="H69" s="78"/>
      <c r="I69" s="204">
        <f t="shared" si="0"/>
        <v>2090891.3699999987</v>
      </c>
    </row>
    <row r="70" spans="1:11" x14ac:dyDescent="0.25">
      <c r="A70" s="171"/>
      <c r="B70" s="260" t="s">
        <v>210</v>
      </c>
      <c r="C70" s="278" t="s">
        <v>318</v>
      </c>
      <c r="D70" s="68" t="s">
        <v>319</v>
      </c>
      <c r="E70" s="68" t="s">
        <v>320</v>
      </c>
      <c r="F70" s="68" t="s">
        <v>321</v>
      </c>
      <c r="G70" s="78"/>
      <c r="H70" s="78">
        <v>3000</v>
      </c>
      <c r="I70" s="204">
        <f t="shared" ref="I70:I76" si="1">+I69+G70-H70</f>
        <v>2087891.3699999987</v>
      </c>
    </row>
    <row r="71" spans="1:11" x14ac:dyDescent="0.25">
      <c r="A71" s="171"/>
      <c r="B71" s="260" t="s">
        <v>181</v>
      </c>
      <c r="C71" s="278" t="s">
        <v>318</v>
      </c>
      <c r="D71" s="68"/>
      <c r="E71" s="68" t="s">
        <v>322</v>
      </c>
      <c r="F71" s="68" t="s">
        <v>323</v>
      </c>
      <c r="G71" s="78">
        <v>11597</v>
      </c>
      <c r="H71" s="78"/>
      <c r="I71" s="204">
        <f t="shared" si="1"/>
        <v>2099488.3699999987</v>
      </c>
    </row>
    <row r="72" spans="1:11" x14ac:dyDescent="0.25">
      <c r="A72" s="171"/>
      <c r="B72" s="260" t="s">
        <v>235</v>
      </c>
      <c r="C72" s="278" t="s">
        <v>324</v>
      </c>
      <c r="D72" s="68"/>
      <c r="E72" s="68"/>
      <c r="F72" s="68" t="s">
        <v>325</v>
      </c>
      <c r="G72" s="78">
        <v>462923.08</v>
      </c>
      <c r="H72" s="78"/>
      <c r="I72" s="204">
        <f t="shared" si="1"/>
        <v>2562411.4499999988</v>
      </c>
    </row>
    <row r="73" spans="1:11" x14ac:dyDescent="0.25">
      <c r="A73" s="171"/>
      <c r="B73" s="260" t="s">
        <v>235</v>
      </c>
      <c r="C73" s="278" t="s">
        <v>326</v>
      </c>
      <c r="D73" s="68"/>
      <c r="E73" s="68"/>
      <c r="F73" s="68" t="s">
        <v>327</v>
      </c>
      <c r="G73" s="78">
        <v>5550</v>
      </c>
      <c r="H73" s="78"/>
      <c r="I73" s="204">
        <f t="shared" si="1"/>
        <v>2567961.4499999988</v>
      </c>
    </row>
    <row r="74" spans="1:11" x14ac:dyDescent="0.25">
      <c r="A74" s="171"/>
      <c r="B74" s="260" t="s">
        <v>181</v>
      </c>
      <c r="C74" s="278" t="s">
        <v>326</v>
      </c>
      <c r="D74" s="68"/>
      <c r="E74" s="68" t="s">
        <v>328</v>
      </c>
      <c r="F74" s="68" t="s">
        <v>329</v>
      </c>
      <c r="G74" s="78">
        <v>6260</v>
      </c>
      <c r="H74" s="78"/>
      <c r="I74" s="204">
        <f t="shared" si="1"/>
        <v>2574221.4499999988</v>
      </c>
    </row>
    <row r="75" spans="1:11" x14ac:dyDescent="0.25">
      <c r="A75" s="171"/>
      <c r="B75" s="260" t="s">
        <v>235</v>
      </c>
      <c r="C75" s="278" t="s">
        <v>326</v>
      </c>
      <c r="D75" s="68"/>
      <c r="E75" s="68"/>
      <c r="F75" s="68" t="s">
        <v>330</v>
      </c>
      <c r="G75" s="78">
        <v>189772</v>
      </c>
      <c r="H75" s="78"/>
      <c r="I75" s="204">
        <f t="shared" si="1"/>
        <v>2763993.4499999988</v>
      </c>
    </row>
    <row r="76" spans="1:11" x14ac:dyDescent="0.25">
      <c r="A76" s="171"/>
      <c r="B76" s="260" t="s">
        <v>181</v>
      </c>
      <c r="C76" s="278" t="s">
        <v>326</v>
      </c>
      <c r="D76" s="68"/>
      <c r="E76" s="68" t="s">
        <v>331</v>
      </c>
      <c r="F76" s="68" t="s">
        <v>332</v>
      </c>
      <c r="G76" s="78">
        <v>160398.46</v>
      </c>
      <c r="H76" s="78"/>
      <c r="I76" s="204">
        <f t="shared" si="1"/>
        <v>2924391.9099999988</v>
      </c>
    </row>
    <row r="77" spans="1:11" ht="15.75" thickBot="1" x14ac:dyDescent="0.3">
      <c r="A77" s="171"/>
      <c r="B77" s="260" t="s">
        <v>235</v>
      </c>
      <c r="C77" s="278" t="s">
        <v>326</v>
      </c>
      <c r="D77" s="68"/>
      <c r="E77" s="68"/>
      <c r="F77" s="68" t="s">
        <v>333</v>
      </c>
      <c r="G77" s="78">
        <v>198032.65</v>
      </c>
      <c r="H77" s="78"/>
      <c r="I77" s="204">
        <f>+I76+G77-H77</f>
        <v>3122424.5599999987</v>
      </c>
    </row>
    <row r="78" spans="1:11" ht="15.75" thickBot="1" x14ac:dyDescent="0.3">
      <c r="A78" s="180"/>
      <c r="B78" s="181"/>
      <c r="C78" s="182"/>
      <c r="D78" s="183"/>
      <c r="E78" s="183"/>
      <c r="F78" s="183"/>
      <c r="G78" s="221">
        <f>SUM(G5:G77)</f>
        <v>6425558.7800000003</v>
      </c>
      <c r="H78" s="221">
        <f>SUM(H5:H77)</f>
        <v>7344247</v>
      </c>
      <c r="I78" s="222">
        <f>+I77</f>
        <v>3122424.5599999987</v>
      </c>
      <c r="K78" s="203" t="s">
        <v>3</v>
      </c>
    </row>
    <row r="79" spans="1:11" ht="15.75" thickBot="1" x14ac:dyDescent="0.3">
      <c r="B79" s="187"/>
      <c r="C79" s="188"/>
      <c r="D79" s="189"/>
      <c r="E79" s="189"/>
      <c r="F79" s="189"/>
      <c r="G79" s="189"/>
      <c r="H79" s="189"/>
      <c r="I79" s="190"/>
    </row>
    <row r="80" spans="1:11" ht="15.75" thickBot="1" x14ac:dyDescent="0.3">
      <c r="B80" s="187"/>
      <c r="C80" s="188"/>
      <c r="D80" s="189"/>
      <c r="E80" s="189"/>
      <c r="F80" s="189"/>
      <c r="G80" s="191" t="s">
        <v>64</v>
      </c>
      <c r="H80" s="192" t="s">
        <v>65</v>
      </c>
      <c r="I80" s="190"/>
    </row>
    <row r="81" spans="2:11" ht="15.75" thickBot="1" x14ac:dyDescent="0.3">
      <c r="B81" s="187"/>
      <c r="C81" s="188"/>
      <c r="D81" s="189"/>
      <c r="E81" s="189"/>
      <c r="F81" s="189"/>
      <c r="G81" s="193">
        <f>+I78</f>
        <v>3122424.5599999987</v>
      </c>
      <c r="H81" s="193">
        <v>3122424.56</v>
      </c>
      <c r="I81" s="190"/>
    </row>
    <row r="82" spans="2:11" ht="15.75" thickBot="1" x14ac:dyDescent="0.3">
      <c r="B82" s="187"/>
      <c r="C82" s="188"/>
      <c r="D82" s="189"/>
      <c r="E82" s="189"/>
      <c r="F82" s="194" t="s">
        <v>66</v>
      </c>
      <c r="G82" s="195">
        <f>+G81</f>
        <v>3122424.5599999987</v>
      </c>
      <c r="H82" s="196">
        <f>+H81</f>
        <v>3122424.56</v>
      </c>
      <c r="I82" s="190"/>
    </row>
    <row r="83" spans="2:11" ht="15.75" thickBot="1" x14ac:dyDescent="0.3">
      <c r="B83" s="199"/>
      <c r="C83" s="200"/>
      <c r="D83" s="189"/>
      <c r="E83" s="189"/>
      <c r="F83" s="189"/>
      <c r="G83" s="189"/>
      <c r="H83" s="189"/>
      <c r="I83" s="190"/>
    </row>
    <row r="84" spans="2:11" x14ac:dyDescent="0.25">
      <c r="B84" s="223" t="s">
        <v>67</v>
      </c>
      <c r="C84" s="188"/>
      <c r="D84" s="189"/>
      <c r="E84" s="189"/>
      <c r="F84" s="189"/>
      <c r="G84" s="189"/>
      <c r="H84" s="189"/>
      <c r="I84" s="190"/>
    </row>
    <row r="85" spans="2:11" x14ac:dyDescent="0.25">
      <c r="B85" s="223" t="s">
        <v>157</v>
      </c>
      <c r="C85" s="188"/>
      <c r="D85" s="189"/>
      <c r="E85" s="189"/>
      <c r="F85" s="189"/>
      <c r="G85" s="189"/>
      <c r="H85" s="189"/>
      <c r="I85" s="190"/>
    </row>
    <row r="86" spans="2:11" ht="15.75" thickBot="1" x14ac:dyDescent="0.3">
      <c r="B86" s="199"/>
      <c r="C86" s="200"/>
      <c r="D86" s="197"/>
      <c r="E86" s="197"/>
      <c r="F86" s="197"/>
      <c r="G86" s="197"/>
      <c r="H86" s="197"/>
      <c r="I86" s="201"/>
    </row>
    <row r="88" spans="2:11" s="186" customFormat="1" x14ac:dyDescent="0.25">
      <c r="C88" s="202"/>
      <c r="H88" s="203" t="s">
        <v>3</v>
      </c>
      <c r="J88" s="172"/>
      <c r="K88" s="172"/>
    </row>
    <row r="89" spans="2:11" s="186" customFormat="1" x14ac:dyDescent="0.25">
      <c r="C89" s="202"/>
      <c r="G89" s="224">
        <f>+G82-H82</f>
        <v>0</v>
      </c>
      <c r="J89" s="172"/>
      <c r="K89" s="172"/>
    </row>
    <row r="90" spans="2:11" s="186" customFormat="1" x14ac:dyDescent="0.25">
      <c r="C90" s="202"/>
      <c r="G90" s="203" t="s">
        <v>3</v>
      </c>
      <c r="H90" s="225" t="s">
        <v>3</v>
      </c>
      <c r="J90" s="172"/>
      <c r="K90" s="172"/>
    </row>
  </sheetData>
  <pageMargins left="0.3" right="0.19685039370078741" top="0.94488188976377963" bottom="0.74803149606299213" header="0.39370078740157483" footer="0.78740157480314965"/>
  <pageSetup scale="75" orientation="landscape" horizontalDpi="4294967294" r:id="rId1"/>
  <headerFooter>
    <oddHeader xml:space="preserve">&amp;C&amp;"Arial,Negrita"&amp;12 CONDOMINIO VISTAS A LA COLINA
Conciliacion Bancaria ¢ BAC 933524464
Mayo 31 de 2019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pane xSplit="1" ySplit="1" topLeftCell="B34" activePane="bottomRight" state="frozenSplit"/>
      <selection activeCell="F25" sqref="F25"/>
      <selection pane="topRight" activeCell="F25" sqref="F25"/>
      <selection pane="bottomLeft" activeCell="F25" sqref="F25"/>
      <selection pane="bottomRight" activeCell="G51" sqref="G51"/>
    </sheetView>
  </sheetViews>
  <sheetFormatPr baseColWidth="10" defaultColWidth="11.42578125" defaultRowHeight="15" x14ac:dyDescent="0.25"/>
  <cols>
    <col min="1" max="1" width="4.5703125" style="186" customWidth="1"/>
    <col min="2" max="2" width="12.5703125" style="186" customWidth="1"/>
    <col min="3" max="3" width="15.140625" style="202" customWidth="1"/>
    <col min="4" max="4" width="16.42578125" style="186" customWidth="1"/>
    <col min="5" max="5" width="32" style="186" customWidth="1"/>
    <col min="6" max="6" width="55" style="186" customWidth="1"/>
    <col min="7" max="7" width="13" style="186" customWidth="1"/>
    <col min="8" max="8" width="13.5703125" style="186" customWidth="1"/>
    <col min="9" max="9" width="12.7109375" style="186" customWidth="1"/>
    <col min="10" max="10" width="7" style="172" customWidth="1"/>
    <col min="11" max="11" width="13.140625" style="172" bestFit="1" customWidth="1"/>
    <col min="12" max="16384" width="11.42578125" style="172"/>
  </cols>
  <sheetData>
    <row r="1" spans="1:11" s="170" customFormat="1" ht="15.75" thickBot="1" x14ac:dyDescent="0.3">
      <c r="A1" s="166"/>
      <c r="B1" s="167" t="s">
        <v>27</v>
      </c>
      <c r="C1" s="168" t="s">
        <v>28</v>
      </c>
      <c r="D1" s="168" t="s">
        <v>29</v>
      </c>
      <c r="E1" s="168" t="s">
        <v>30</v>
      </c>
      <c r="F1" s="168" t="s">
        <v>31</v>
      </c>
      <c r="G1" s="168" t="s">
        <v>32</v>
      </c>
      <c r="H1" s="168" t="s">
        <v>33</v>
      </c>
      <c r="I1" s="169" t="s">
        <v>34</v>
      </c>
    </row>
    <row r="2" spans="1:11" x14ac:dyDescent="0.25">
      <c r="A2" s="171"/>
      <c r="B2" s="173" t="s">
        <v>61</v>
      </c>
      <c r="C2" s="174"/>
      <c r="D2" s="175"/>
      <c r="E2" s="175"/>
      <c r="F2" s="175"/>
      <c r="G2" s="176"/>
      <c r="H2" s="176"/>
      <c r="I2" s="177" t="s">
        <v>3</v>
      </c>
    </row>
    <row r="3" spans="1:11" x14ac:dyDescent="0.25">
      <c r="B3" s="173" t="s">
        <v>69</v>
      </c>
      <c r="C3" s="174"/>
      <c r="D3" s="175"/>
      <c r="E3" s="175"/>
      <c r="F3" s="175"/>
      <c r="G3" s="176"/>
      <c r="H3" s="176"/>
      <c r="I3" s="177" t="s">
        <v>3</v>
      </c>
    </row>
    <row r="4" spans="1:11" x14ac:dyDescent="0.25">
      <c r="A4" s="171"/>
      <c r="B4" s="173" t="s">
        <v>71</v>
      </c>
      <c r="C4" s="174"/>
      <c r="D4" s="175"/>
      <c r="E4" s="175"/>
      <c r="F4" s="175" t="s">
        <v>72</v>
      </c>
      <c r="G4" s="176"/>
      <c r="H4" s="176"/>
      <c r="I4" s="177">
        <v>57377.15</v>
      </c>
      <c r="K4" s="205" t="s">
        <v>3</v>
      </c>
    </row>
    <row r="5" spans="1:11" x14ac:dyDescent="0.25">
      <c r="A5" s="189"/>
      <c r="B5" s="260" t="s">
        <v>190</v>
      </c>
      <c r="C5" s="278">
        <v>43501</v>
      </c>
      <c r="D5" s="68" t="s">
        <v>394</v>
      </c>
      <c r="E5" s="68" t="s">
        <v>212</v>
      </c>
      <c r="F5" s="68" t="s">
        <v>393</v>
      </c>
      <c r="G5" s="78"/>
      <c r="H5" s="78">
        <v>1200</v>
      </c>
      <c r="I5" s="204">
        <f>+I4+G5-H5</f>
        <v>56177.15</v>
      </c>
      <c r="K5" s="205"/>
    </row>
    <row r="6" spans="1:11" x14ac:dyDescent="0.25">
      <c r="A6" s="189"/>
      <c r="B6" s="260" t="s">
        <v>190</v>
      </c>
      <c r="C6" s="278">
        <v>43501</v>
      </c>
      <c r="D6" s="68" t="s">
        <v>392</v>
      </c>
      <c r="E6" s="68" t="s">
        <v>352</v>
      </c>
      <c r="F6" s="68" t="s">
        <v>391</v>
      </c>
      <c r="G6" s="78"/>
      <c r="H6" s="78">
        <v>180</v>
      </c>
      <c r="I6" s="204">
        <f t="shared" ref="I6:I40" si="0">+I5+G6-H6</f>
        <v>55997.15</v>
      </c>
      <c r="K6" s="205"/>
    </row>
    <row r="7" spans="1:11" x14ac:dyDescent="0.25">
      <c r="A7" s="189"/>
      <c r="B7" s="260" t="s">
        <v>210</v>
      </c>
      <c r="C7" s="278">
        <v>43501</v>
      </c>
      <c r="D7" s="68" t="s">
        <v>390</v>
      </c>
      <c r="E7" s="68" t="s">
        <v>215</v>
      </c>
      <c r="F7" s="68" t="s">
        <v>389</v>
      </c>
      <c r="G7" s="78"/>
      <c r="H7" s="78">
        <v>33.69</v>
      </c>
      <c r="I7" s="204">
        <f t="shared" si="0"/>
        <v>55963.46</v>
      </c>
      <c r="K7" s="205"/>
    </row>
    <row r="8" spans="1:11" x14ac:dyDescent="0.25">
      <c r="A8" s="189"/>
      <c r="B8" s="260" t="s">
        <v>181</v>
      </c>
      <c r="C8" s="278">
        <v>43501</v>
      </c>
      <c r="D8" s="68"/>
      <c r="E8" s="68" t="s">
        <v>388</v>
      </c>
      <c r="F8" s="68" t="s">
        <v>387</v>
      </c>
      <c r="G8" s="78">
        <v>231</v>
      </c>
      <c r="H8" s="78"/>
      <c r="I8" s="204">
        <f t="shared" si="0"/>
        <v>56194.46</v>
      </c>
      <c r="K8" s="205"/>
    </row>
    <row r="9" spans="1:11" x14ac:dyDescent="0.25">
      <c r="A9" s="189"/>
      <c r="B9" s="260" t="s">
        <v>181</v>
      </c>
      <c r="C9" s="278">
        <v>43651</v>
      </c>
      <c r="D9" s="68"/>
      <c r="E9" s="68" t="s">
        <v>386</v>
      </c>
      <c r="F9" s="68" t="s">
        <v>385</v>
      </c>
      <c r="G9" s="78">
        <v>214.26</v>
      </c>
      <c r="H9" s="78"/>
      <c r="I9" s="204">
        <f t="shared" si="0"/>
        <v>56408.72</v>
      </c>
      <c r="K9" s="205"/>
    </row>
    <row r="10" spans="1:11" x14ac:dyDescent="0.25">
      <c r="A10" s="189"/>
      <c r="B10" s="260" t="s">
        <v>181</v>
      </c>
      <c r="C10" s="278">
        <v>43651</v>
      </c>
      <c r="D10" s="68"/>
      <c r="E10" s="68" t="s">
        <v>384</v>
      </c>
      <c r="F10" s="68" t="s">
        <v>383</v>
      </c>
      <c r="G10" s="78">
        <v>153.78</v>
      </c>
      <c r="H10" s="78"/>
      <c r="I10" s="204">
        <f t="shared" si="0"/>
        <v>56562.5</v>
      </c>
      <c r="K10" s="205"/>
    </row>
    <row r="11" spans="1:11" x14ac:dyDescent="0.25">
      <c r="A11" s="189"/>
      <c r="B11" s="260" t="s">
        <v>181</v>
      </c>
      <c r="C11" s="278">
        <v>43743</v>
      </c>
      <c r="D11" s="68"/>
      <c r="E11" s="68" t="s">
        <v>336</v>
      </c>
      <c r="F11" s="68" t="s">
        <v>382</v>
      </c>
      <c r="G11" s="78">
        <v>269.58</v>
      </c>
      <c r="H11" s="78"/>
      <c r="I11" s="204">
        <f t="shared" si="0"/>
        <v>56832.08</v>
      </c>
      <c r="K11" s="205"/>
    </row>
    <row r="12" spans="1:11" x14ac:dyDescent="0.25">
      <c r="A12" s="189"/>
      <c r="B12" s="260" t="s">
        <v>235</v>
      </c>
      <c r="C12" s="278">
        <v>43743</v>
      </c>
      <c r="D12" s="68"/>
      <c r="E12" s="68"/>
      <c r="F12" s="68" t="s">
        <v>381</v>
      </c>
      <c r="G12" s="78">
        <v>763.15</v>
      </c>
      <c r="H12" s="78"/>
      <c r="I12" s="204">
        <f t="shared" si="0"/>
        <v>57595.23</v>
      </c>
      <c r="K12" s="205"/>
    </row>
    <row r="13" spans="1:11" x14ac:dyDescent="0.25">
      <c r="A13" s="189"/>
      <c r="B13" s="260" t="s">
        <v>235</v>
      </c>
      <c r="C13" s="278">
        <v>43743</v>
      </c>
      <c r="D13" s="68"/>
      <c r="E13" s="68"/>
      <c r="F13" s="68" t="s">
        <v>380</v>
      </c>
      <c r="G13" s="78">
        <v>10</v>
      </c>
      <c r="H13" s="78"/>
      <c r="I13" s="204">
        <f t="shared" si="0"/>
        <v>57605.23</v>
      </c>
      <c r="K13" s="205"/>
    </row>
    <row r="14" spans="1:11" x14ac:dyDescent="0.25">
      <c r="A14" s="189"/>
      <c r="B14" s="260" t="s">
        <v>190</v>
      </c>
      <c r="C14" s="278" t="s">
        <v>292</v>
      </c>
      <c r="D14" s="68" t="s">
        <v>379</v>
      </c>
      <c r="E14" s="68" t="s">
        <v>205</v>
      </c>
      <c r="F14" s="68" t="s">
        <v>378</v>
      </c>
      <c r="G14" s="78"/>
      <c r="H14" s="78">
        <v>2156.84</v>
      </c>
      <c r="I14" s="204">
        <f t="shared" si="0"/>
        <v>55448.39</v>
      </c>
      <c r="K14" s="205"/>
    </row>
    <row r="15" spans="1:11" x14ac:dyDescent="0.25">
      <c r="A15" s="189"/>
      <c r="B15" s="260" t="s">
        <v>190</v>
      </c>
      <c r="C15" s="278" t="s">
        <v>292</v>
      </c>
      <c r="D15" s="68" t="s">
        <v>377</v>
      </c>
      <c r="E15" s="68" t="s">
        <v>205</v>
      </c>
      <c r="F15" s="68" t="s">
        <v>376</v>
      </c>
      <c r="G15" s="78"/>
      <c r="H15" s="78">
        <v>2156.84</v>
      </c>
      <c r="I15" s="204">
        <f t="shared" si="0"/>
        <v>53291.55</v>
      </c>
      <c r="K15" s="205"/>
    </row>
    <row r="16" spans="1:11" x14ac:dyDescent="0.25">
      <c r="A16" s="189"/>
      <c r="B16" s="260" t="s">
        <v>190</v>
      </c>
      <c r="C16" s="278" t="s">
        <v>292</v>
      </c>
      <c r="D16" s="68" t="s">
        <v>375</v>
      </c>
      <c r="E16" s="68" t="s">
        <v>205</v>
      </c>
      <c r="F16" s="68" t="s">
        <v>374</v>
      </c>
      <c r="G16" s="78"/>
      <c r="H16" s="78">
        <v>832.92</v>
      </c>
      <c r="I16" s="204">
        <f t="shared" si="0"/>
        <v>52458.630000000005</v>
      </c>
      <c r="K16" s="205"/>
    </row>
    <row r="17" spans="1:11" x14ac:dyDescent="0.25">
      <c r="A17" s="189"/>
      <c r="B17" s="260" t="s">
        <v>190</v>
      </c>
      <c r="C17" s="278" t="s">
        <v>292</v>
      </c>
      <c r="D17" s="68" t="s">
        <v>373</v>
      </c>
      <c r="E17" s="68" t="s">
        <v>205</v>
      </c>
      <c r="F17" s="68" t="s">
        <v>372</v>
      </c>
      <c r="G17" s="78"/>
      <c r="H17" s="78">
        <v>2156.84</v>
      </c>
      <c r="I17" s="204">
        <f t="shared" si="0"/>
        <v>50301.790000000008</v>
      </c>
      <c r="K17" s="205"/>
    </row>
    <row r="18" spans="1:11" x14ac:dyDescent="0.25">
      <c r="A18" s="189"/>
      <c r="B18" s="260" t="s">
        <v>190</v>
      </c>
      <c r="C18" s="278" t="s">
        <v>292</v>
      </c>
      <c r="D18" s="68" t="s">
        <v>371</v>
      </c>
      <c r="E18" s="68" t="s">
        <v>205</v>
      </c>
      <c r="F18" s="68" t="s">
        <v>370</v>
      </c>
      <c r="G18" s="78"/>
      <c r="H18" s="78">
        <v>2156.84</v>
      </c>
      <c r="I18" s="204">
        <f t="shared" si="0"/>
        <v>48144.950000000012</v>
      </c>
      <c r="K18" s="205"/>
    </row>
    <row r="19" spans="1:11" x14ac:dyDescent="0.25">
      <c r="A19" s="189"/>
      <c r="B19" s="260" t="s">
        <v>190</v>
      </c>
      <c r="C19" s="278" t="s">
        <v>292</v>
      </c>
      <c r="D19" s="68" t="s">
        <v>369</v>
      </c>
      <c r="E19" s="68" t="s">
        <v>212</v>
      </c>
      <c r="F19" s="68" t="s">
        <v>368</v>
      </c>
      <c r="G19" s="78"/>
      <c r="H19" s="78">
        <v>1200</v>
      </c>
      <c r="I19" s="204">
        <f t="shared" si="0"/>
        <v>46944.950000000012</v>
      </c>
      <c r="K19" s="205"/>
    </row>
    <row r="20" spans="1:11" x14ac:dyDescent="0.25">
      <c r="A20" s="189"/>
      <c r="B20" s="260" t="s">
        <v>190</v>
      </c>
      <c r="C20" s="278" t="s">
        <v>292</v>
      </c>
      <c r="D20" s="68" t="s">
        <v>367</v>
      </c>
      <c r="E20" s="68" t="s">
        <v>366</v>
      </c>
      <c r="F20" s="68" t="s">
        <v>365</v>
      </c>
      <c r="G20" s="78"/>
      <c r="H20" s="78">
        <v>840</v>
      </c>
      <c r="I20" s="204">
        <f t="shared" si="0"/>
        <v>46104.950000000012</v>
      </c>
      <c r="K20" s="205"/>
    </row>
    <row r="21" spans="1:11" x14ac:dyDescent="0.25">
      <c r="A21" s="189"/>
      <c r="B21" s="260" t="s">
        <v>190</v>
      </c>
      <c r="C21" s="278" t="s">
        <v>292</v>
      </c>
      <c r="D21" s="68" t="s">
        <v>364</v>
      </c>
      <c r="E21" s="68" t="s">
        <v>212</v>
      </c>
      <c r="F21" s="68" t="s">
        <v>363</v>
      </c>
      <c r="G21" s="78"/>
      <c r="H21" s="78">
        <v>1200</v>
      </c>
      <c r="I21" s="204">
        <f t="shared" si="0"/>
        <v>44904.950000000012</v>
      </c>
      <c r="K21" s="205"/>
    </row>
    <row r="22" spans="1:11" x14ac:dyDescent="0.25">
      <c r="A22" s="189"/>
      <c r="B22" s="260" t="s">
        <v>190</v>
      </c>
      <c r="C22" s="278" t="s">
        <v>292</v>
      </c>
      <c r="D22" s="68" t="s">
        <v>362</v>
      </c>
      <c r="E22" s="68" t="s">
        <v>352</v>
      </c>
      <c r="F22" s="68" t="s">
        <v>361</v>
      </c>
      <c r="G22" s="78"/>
      <c r="H22" s="78">
        <v>150</v>
      </c>
      <c r="I22" s="204">
        <f t="shared" si="0"/>
        <v>44754.950000000012</v>
      </c>
      <c r="K22" s="205"/>
    </row>
    <row r="23" spans="1:11" x14ac:dyDescent="0.25">
      <c r="A23" s="189"/>
      <c r="B23" s="260" t="s">
        <v>190</v>
      </c>
      <c r="C23" s="278" t="s">
        <v>292</v>
      </c>
      <c r="D23" s="68" t="s">
        <v>360</v>
      </c>
      <c r="E23" s="68" t="s">
        <v>352</v>
      </c>
      <c r="F23" s="68" t="s">
        <v>359</v>
      </c>
      <c r="G23" s="78"/>
      <c r="H23" s="78">
        <v>150</v>
      </c>
      <c r="I23" s="204">
        <f t="shared" si="0"/>
        <v>44604.950000000012</v>
      </c>
      <c r="K23" s="205"/>
    </row>
    <row r="24" spans="1:11" x14ac:dyDescent="0.25">
      <c r="A24" s="189"/>
      <c r="B24" s="260" t="s">
        <v>190</v>
      </c>
      <c r="C24" s="278" t="s">
        <v>292</v>
      </c>
      <c r="D24" s="68" t="s">
        <v>358</v>
      </c>
      <c r="E24" s="68" t="s">
        <v>355</v>
      </c>
      <c r="F24" s="68" t="s">
        <v>357</v>
      </c>
      <c r="G24" s="78"/>
      <c r="H24" s="78">
        <v>160</v>
      </c>
      <c r="I24" s="204">
        <f t="shared" si="0"/>
        <v>44444.950000000012</v>
      </c>
      <c r="K24" s="205"/>
    </row>
    <row r="25" spans="1:11" x14ac:dyDescent="0.25">
      <c r="A25" s="189"/>
      <c r="B25" s="260" t="s">
        <v>190</v>
      </c>
      <c r="C25" s="278" t="s">
        <v>292</v>
      </c>
      <c r="D25" s="68" t="s">
        <v>356</v>
      </c>
      <c r="E25" s="68" t="s">
        <v>355</v>
      </c>
      <c r="F25" s="68" t="s">
        <v>354</v>
      </c>
      <c r="G25" s="78"/>
      <c r="H25" s="78">
        <v>160</v>
      </c>
      <c r="I25" s="204">
        <f t="shared" si="0"/>
        <v>44284.950000000012</v>
      </c>
      <c r="K25" s="205"/>
    </row>
    <row r="26" spans="1:11" x14ac:dyDescent="0.25">
      <c r="A26" s="189"/>
      <c r="B26" s="260" t="s">
        <v>190</v>
      </c>
      <c r="C26" s="278" t="s">
        <v>292</v>
      </c>
      <c r="D26" s="68" t="s">
        <v>353</v>
      </c>
      <c r="E26" s="68" t="s">
        <v>352</v>
      </c>
      <c r="F26" s="68" t="s">
        <v>351</v>
      </c>
      <c r="G26" s="78"/>
      <c r="H26" s="78">
        <v>6440</v>
      </c>
      <c r="I26" s="204">
        <f t="shared" si="0"/>
        <v>37844.950000000012</v>
      </c>
      <c r="K26" s="205"/>
    </row>
    <row r="27" spans="1:11" x14ac:dyDescent="0.25">
      <c r="A27" s="189"/>
      <c r="B27" s="260" t="s">
        <v>190</v>
      </c>
      <c r="C27" s="278" t="s">
        <v>338</v>
      </c>
      <c r="D27" s="68" t="s">
        <v>350</v>
      </c>
      <c r="E27" s="68" t="s">
        <v>192</v>
      </c>
      <c r="F27" s="68" t="s">
        <v>349</v>
      </c>
      <c r="G27" s="78"/>
      <c r="H27" s="78">
        <v>1142.77</v>
      </c>
      <c r="I27" s="204">
        <f t="shared" si="0"/>
        <v>36702.180000000015</v>
      </c>
      <c r="K27" s="205"/>
    </row>
    <row r="28" spans="1:11" x14ac:dyDescent="0.25">
      <c r="A28" s="189"/>
      <c r="B28" s="260" t="s">
        <v>190</v>
      </c>
      <c r="C28" s="278" t="s">
        <v>338</v>
      </c>
      <c r="D28" s="68" t="s">
        <v>348</v>
      </c>
      <c r="E28" s="68" t="s">
        <v>192</v>
      </c>
      <c r="F28" s="68" t="s">
        <v>347</v>
      </c>
      <c r="G28" s="78"/>
      <c r="H28" s="78">
        <v>1142.77</v>
      </c>
      <c r="I28" s="204">
        <f t="shared" si="0"/>
        <v>35559.410000000018</v>
      </c>
      <c r="K28" s="205"/>
    </row>
    <row r="29" spans="1:11" x14ac:dyDescent="0.25">
      <c r="A29" s="189"/>
      <c r="B29" s="260" t="s">
        <v>190</v>
      </c>
      <c r="C29" s="278" t="s">
        <v>338</v>
      </c>
      <c r="D29" s="68" t="s">
        <v>346</v>
      </c>
      <c r="E29" s="68" t="s">
        <v>192</v>
      </c>
      <c r="F29" s="68" t="s">
        <v>345</v>
      </c>
      <c r="G29" s="78"/>
      <c r="H29" s="78">
        <v>1142.77</v>
      </c>
      <c r="I29" s="204">
        <f t="shared" si="0"/>
        <v>34416.640000000021</v>
      </c>
      <c r="K29" s="205"/>
    </row>
    <row r="30" spans="1:11" x14ac:dyDescent="0.25">
      <c r="A30" s="189"/>
      <c r="B30" s="260" t="s">
        <v>190</v>
      </c>
      <c r="C30" s="278" t="s">
        <v>338</v>
      </c>
      <c r="D30" s="68" t="s">
        <v>344</v>
      </c>
      <c r="E30" s="68" t="s">
        <v>192</v>
      </c>
      <c r="F30" s="68" t="s">
        <v>343</v>
      </c>
      <c r="G30" s="78"/>
      <c r="H30" s="78">
        <v>333.33</v>
      </c>
      <c r="I30" s="204">
        <f t="shared" si="0"/>
        <v>34083.310000000019</v>
      </c>
      <c r="K30" s="205"/>
    </row>
    <row r="31" spans="1:11" x14ac:dyDescent="0.25">
      <c r="A31" s="189"/>
      <c r="B31" s="260" t="s">
        <v>190</v>
      </c>
      <c r="C31" s="278" t="s">
        <v>338</v>
      </c>
      <c r="D31" s="68" t="s">
        <v>342</v>
      </c>
      <c r="E31" s="68" t="s">
        <v>192</v>
      </c>
      <c r="F31" s="68" t="s">
        <v>341</v>
      </c>
      <c r="G31" s="78"/>
      <c r="H31" s="78">
        <v>83.33</v>
      </c>
      <c r="I31" s="204">
        <f t="shared" si="0"/>
        <v>33999.980000000018</v>
      </c>
      <c r="K31" s="205"/>
    </row>
    <row r="32" spans="1:11" x14ac:dyDescent="0.25">
      <c r="A32" s="189"/>
      <c r="B32" s="260" t="s">
        <v>190</v>
      </c>
      <c r="C32" s="278" t="s">
        <v>338</v>
      </c>
      <c r="D32" s="68" t="s">
        <v>340</v>
      </c>
      <c r="E32" s="68" t="s">
        <v>192</v>
      </c>
      <c r="F32" s="68" t="s">
        <v>339</v>
      </c>
      <c r="G32" s="78"/>
      <c r="H32" s="78">
        <v>1142.77</v>
      </c>
      <c r="I32" s="204">
        <f t="shared" si="0"/>
        <v>32857.210000000021</v>
      </c>
      <c r="K32" s="205"/>
    </row>
    <row r="33" spans="1:11" x14ac:dyDescent="0.25">
      <c r="A33" s="189"/>
      <c r="B33" s="260" t="s">
        <v>194</v>
      </c>
      <c r="C33" s="278" t="s">
        <v>338</v>
      </c>
      <c r="D33" s="68"/>
      <c r="E33" s="68"/>
      <c r="F33" s="68" t="s">
        <v>337</v>
      </c>
      <c r="G33" s="78"/>
      <c r="H33" s="78">
        <v>0.5</v>
      </c>
      <c r="I33" s="204">
        <f t="shared" si="0"/>
        <v>32856.710000000021</v>
      </c>
      <c r="K33" s="205"/>
    </row>
    <row r="34" spans="1:11" x14ac:dyDescent="0.25">
      <c r="A34" s="189"/>
      <c r="B34" s="260" t="s">
        <v>194</v>
      </c>
      <c r="C34" s="278" t="s">
        <v>338</v>
      </c>
      <c r="D34" s="68"/>
      <c r="E34" s="68"/>
      <c r="F34" s="68" t="s">
        <v>337</v>
      </c>
      <c r="G34" s="78"/>
      <c r="H34" s="78">
        <v>0.5</v>
      </c>
      <c r="I34" s="204">
        <f t="shared" si="0"/>
        <v>32856.210000000021</v>
      </c>
      <c r="K34" s="205"/>
    </row>
    <row r="35" spans="1:11" x14ac:dyDescent="0.25">
      <c r="A35" s="189"/>
      <c r="B35" s="260" t="s">
        <v>194</v>
      </c>
      <c r="C35" s="278" t="s">
        <v>338</v>
      </c>
      <c r="D35" s="68"/>
      <c r="E35" s="68"/>
      <c r="F35" s="68" t="s">
        <v>337</v>
      </c>
      <c r="G35" s="78"/>
      <c r="H35" s="78">
        <v>0.5</v>
      </c>
      <c r="I35" s="204">
        <f t="shared" si="0"/>
        <v>32855.710000000021</v>
      </c>
      <c r="K35" s="205"/>
    </row>
    <row r="36" spans="1:11" x14ac:dyDescent="0.25">
      <c r="A36" s="189"/>
      <c r="B36" s="260" t="s">
        <v>194</v>
      </c>
      <c r="C36" s="278" t="s">
        <v>338</v>
      </c>
      <c r="D36" s="68"/>
      <c r="E36" s="68"/>
      <c r="F36" s="68" t="s">
        <v>337</v>
      </c>
      <c r="G36" s="78"/>
      <c r="H36" s="78">
        <v>0.5</v>
      </c>
      <c r="I36" s="204">
        <f t="shared" si="0"/>
        <v>32855.210000000021</v>
      </c>
      <c r="K36" s="205"/>
    </row>
    <row r="37" spans="1:11" x14ac:dyDescent="0.25">
      <c r="A37" s="189"/>
      <c r="B37" s="260" t="s">
        <v>194</v>
      </c>
      <c r="C37" s="278" t="s">
        <v>338</v>
      </c>
      <c r="D37" s="68"/>
      <c r="E37" s="68"/>
      <c r="F37" s="68" t="s">
        <v>337</v>
      </c>
      <c r="G37" s="78"/>
      <c r="H37" s="78">
        <v>0.5</v>
      </c>
      <c r="I37" s="204">
        <f t="shared" si="0"/>
        <v>32854.710000000021</v>
      </c>
      <c r="K37" s="205"/>
    </row>
    <row r="38" spans="1:11" x14ac:dyDescent="0.25">
      <c r="A38" s="189"/>
      <c r="B38" s="260" t="s">
        <v>194</v>
      </c>
      <c r="C38" s="278" t="s">
        <v>338</v>
      </c>
      <c r="D38" s="68"/>
      <c r="E38" s="68"/>
      <c r="F38" s="68" t="s">
        <v>337</v>
      </c>
      <c r="G38" s="78"/>
      <c r="H38" s="78">
        <v>0.5</v>
      </c>
      <c r="I38" s="204">
        <f t="shared" si="0"/>
        <v>32854.210000000021</v>
      </c>
      <c r="K38" s="205"/>
    </row>
    <row r="39" spans="1:11" x14ac:dyDescent="0.25">
      <c r="A39" s="189"/>
      <c r="B39" s="260" t="s">
        <v>181</v>
      </c>
      <c r="C39" s="278" t="s">
        <v>326</v>
      </c>
      <c r="D39" s="68"/>
      <c r="E39" s="68" t="s">
        <v>336</v>
      </c>
      <c r="F39" s="68" t="s">
        <v>335</v>
      </c>
      <c r="G39" s="78">
        <v>271.76</v>
      </c>
      <c r="H39" s="78"/>
      <c r="I39" s="204">
        <f t="shared" si="0"/>
        <v>33125.970000000023</v>
      </c>
      <c r="K39" s="205"/>
    </row>
    <row r="40" spans="1:11" ht="15.75" thickBot="1" x14ac:dyDescent="0.3">
      <c r="A40" s="189"/>
      <c r="B40" s="260" t="s">
        <v>235</v>
      </c>
      <c r="C40" s="278" t="s">
        <v>326</v>
      </c>
      <c r="D40" s="68"/>
      <c r="E40" s="68"/>
      <c r="F40" s="68" t="s">
        <v>334</v>
      </c>
      <c r="G40" s="78">
        <v>16985</v>
      </c>
      <c r="H40" s="78"/>
      <c r="I40" s="204">
        <f t="shared" si="0"/>
        <v>50110.970000000023</v>
      </c>
      <c r="K40" s="205"/>
    </row>
    <row r="41" spans="1:11" ht="15.75" thickBot="1" x14ac:dyDescent="0.3">
      <c r="A41" s="180"/>
      <c r="B41" s="181" t="s">
        <v>73</v>
      </c>
      <c r="C41" s="182"/>
      <c r="D41" s="183"/>
      <c r="E41" s="183"/>
      <c r="F41" s="183"/>
      <c r="G41" s="184">
        <f>SUM(G5:G40)</f>
        <v>18898.53</v>
      </c>
      <c r="H41" s="184">
        <f>SUM(H5:H40)</f>
        <v>26164.710000000006</v>
      </c>
      <c r="I41" s="185">
        <f>+I40</f>
        <v>50110.970000000023</v>
      </c>
    </row>
    <row r="42" spans="1:11" x14ac:dyDescent="0.25">
      <c r="B42" s="187"/>
      <c r="C42" s="188"/>
      <c r="D42" s="189"/>
      <c r="E42" s="189"/>
      <c r="F42" s="189"/>
      <c r="G42" s="189"/>
      <c r="H42" s="189"/>
      <c r="I42" s="190"/>
    </row>
    <row r="43" spans="1:11" ht="15.75" thickBot="1" x14ac:dyDescent="0.3">
      <c r="B43" s="187"/>
      <c r="C43" s="188"/>
      <c r="D43" s="189"/>
      <c r="E43" s="189"/>
      <c r="F43" s="189"/>
      <c r="G43" s="189"/>
      <c r="H43" s="189"/>
      <c r="I43" s="190"/>
      <c r="K43" s="205"/>
    </row>
    <row r="44" spans="1:11" ht="15.75" thickBot="1" x14ac:dyDescent="0.3">
      <c r="B44" s="187"/>
      <c r="C44" s="188"/>
      <c r="D44" s="189"/>
      <c r="E44" s="189"/>
      <c r="F44" s="206"/>
      <c r="G44" s="207" t="s">
        <v>64</v>
      </c>
      <c r="H44" s="208" t="s">
        <v>65</v>
      </c>
      <c r="I44" s="190"/>
    </row>
    <row r="45" spans="1:11" ht="15.75" thickBot="1" x14ac:dyDescent="0.3">
      <c r="B45" s="187"/>
      <c r="C45" s="188"/>
      <c r="D45" s="189"/>
      <c r="E45" s="189"/>
      <c r="F45" s="206"/>
      <c r="G45" s="209">
        <f>+I41</f>
        <v>50110.970000000023</v>
      </c>
      <c r="H45" s="209">
        <v>50110.97</v>
      </c>
      <c r="I45" s="190"/>
      <c r="K45" s="205"/>
    </row>
    <row r="46" spans="1:11" ht="15.75" thickBot="1" x14ac:dyDescent="0.3">
      <c r="B46" s="187"/>
      <c r="C46" s="188"/>
      <c r="D46" s="189"/>
      <c r="E46" s="189"/>
      <c r="F46" s="210" t="s">
        <v>66</v>
      </c>
      <c r="G46" s="211">
        <f>+G45</f>
        <v>50110.970000000023</v>
      </c>
      <c r="H46" s="212">
        <f>+H45</f>
        <v>50110.97</v>
      </c>
      <c r="I46" s="190"/>
    </row>
    <row r="47" spans="1:11" ht="15.75" thickBot="1" x14ac:dyDescent="0.3">
      <c r="B47" s="187"/>
      <c r="C47" s="188"/>
      <c r="D47" s="189"/>
      <c r="E47" s="189"/>
      <c r="F47" s="189"/>
      <c r="G47" s="189"/>
      <c r="H47" s="189"/>
      <c r="I47" s="190"/>
      <c r="K47" s="205"/>
    </row>
    <row r="48" spans="1:11" ht="15.75" thickBot="1" x14ac:dyDescent="0.3">
      <c r="B48" s="187"/>
      <c r="C48" s="188"/>
      <c r="D48" s="189"/>
      <c r="E48" s="189"/>
      <c r="F48" s="213" t="s">
        <v>180</v>
      </c>
      <c r="G48" s="214">
        <v>584.11</v>
      </c>
      <c r="H48" s="215">
        <f>+I41*G48</f>
        <v>29270318.686700013</v>
      </c>
      <c r="I48" s="190"/>
    </row>
    <row r="49" spans="2:11" x14ac:dyDescent="0.25">
      <c r="B49" s="187"/>
      <c r="C49" s="188"/>
      <c r="D49" s="189"/>
      <c r="E49" s="189"/>
      <c r="F49" s="189"/>
      <c r="G49" s="189"/>
      <c r="H49" s="217" t="s">
        <v>3</v>
      </c>
      <c r="I49" s="190"/>
    </row>
    <row r="50" spans="2:11" x14ac:dyDescent="0.25">
      <c r="B50" s="187"/>
      <c r="C50" s="188"/>
      <c r="D50" s="189"/>
      <c r="E50" s="198" t="s">
        <v>67</v>
      </c>
      <c r="F50" s="216"/>
      <c r="G50" s="189"/>
      <c r="H50" s="319" t="s">
        <v>3</v>
      </c>
      <c r="I50" s="190"/>
      <c r="K50" s="226"/>
    </row>
    <row r="51" spans="2:11" x14ac:dyDescent="0.25">
      <c r="B51" s="187"/>
      <c r="C51" s="188"/>
      <c r="D51" s="189"/>
      <c r="E51" s="198" t="s">
        <v>157</v>
      </c>
      <c r="F51" s="216"/>
      <c r="G51" s="189" t="s">
        <v>3</v>
      </c>
      <c r="H51" s="279" t="s">
        <v>3</v>
      </c>
      <c r="I51" s="190"/>
    </row>
    <row r="52" spans="2:11" x14ac:dyDescent="0.25">
      <c r="B52" s="187"/>
      <c r="C52" s="188"/>
      <c r="D52" s="189"/>
      <c r="E52" s="189"/>
      <c r="F52" s="189"/>
      <c r="G52" s="189"/>
      <c r="H52" s="227" t="s">
        <v>3</v>
      </c>
      <c r="I52" s="190"/>
    </row>
    <row r="53" spans="2:11" ht="15.75" thickBot="1" x14ac:dyDescent="0.3">
      <c r="B53" s="199"/>
      <c r="C53" s="200"/>
      <c r="D53" s="197"/>
      <c r="E53" s="197"/>
      <c r="F53" s="197"/>
      <c r="G53" s="197"/>
      <c r="H53" s="197"/>
      <c r="I53" s="201"/>
    </row>
    <row r="55" spans="2:11" x14ac:dyDescent="0.25">
      <c r="H55" s="178">
        <f>+G46-H46</f>
        <v>0</v>
      </c>
    </row>
    <row r="56" spans="2:11" x14ac:dyDescent="0.25">
      <c r="H56" s="218" t="s">
        <v>3</v>
      </c>
    </row>
    <row r="57" spans="2:11" x14ac:dyDescent="0.25">
      <c r="H57" s="218" t="s">
        <v>3</v>
      </c>
    </row>
    <row r="58" spans="2:11" x14ac:dyDescent="0.25">
      <c r="H58" s="318" t="s">
        <v>3</v>
      </c>
    </row>
  </sheetData>
  <pageMargins left="0.23622047244094491" right="0.19685039370078741" top="1.03" bottom="1.0900000000000001" header="0.39" footer="1.02"/>
  <pageSetup scale="75" orientation="landscape" horizontalDpi="4294967294" r:id="rId1"/>
  <headerFooter>
    <oddHeader xml:space="preserve">&amp;C&amp;"Arial,Negrita"&amp;12 CONDOMINIO VISTAS A LA COLINA
Conciliacion Bancaria$ 933524456 BAC 
Mayo 31 de 2019 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1"/>
  <sheetViews>
    <sheetView workbookViewId="0">
      <pane xSplit="5" ySplit="1" topLeftCell="F44" activePane="bottomRight" state="frozenSplit"/>
      <selection pane="topRight" activeCell="H1" sqref="H1"/>
      <selection pane="bottomLeft" activeCell="A2" sqref="A2"/>
      <selection pane="bottomRight" activeCell="H59" sqref="H59"/>
    </sheetView>
  </sheetViews>
  <sheetFormatPr baseColWidth="10" defaultColWidth="11.42578125" defaultRowHeight="15" x14ac:dyDescent="0.25"/>
  <cols>
    <col min="1" max="1" width="3" style="240" customWidth="1"/>
    <col min="2" max="2" width="2.140625" style="240" customWidth="1"/>
    <col min="3" max="3" width="2.7109375" style="240" customWidth="1"/>
    <col min="4" max="4" width="2.140625" style="240" customWidth="1"/>
    <col min="5" max="5" width="27.28515625" style="240" customWidth="1"/>
    <col min="6" max="6" width="14" style="186" customWidth="1"/>
    <col min="7" max="7" width="11.42578125" style="186" customWidth="1"/>
    <col min="8" max="8" width="10.85546875" style="186" customWidth="1"/>
    <col min="9" max="10" width="12.42578125" style="186" customWidth="1"/>
    <col min="11" max="11" width="13.5703125" style="186" customWidth="1"/>
    <col min="12" max="16384" width="11.42578125" style="172"/>
  </cols>
  <sheetData>
    <row r="1" spans="1:11" s="170" customFormat="1" ht="15.75" thickBot="1" x14ac:dyDescent="0.3">
      <c r="A1" s="241"/>
      <c r="B1" s="167"/>
      <c r="C1" s="168"/>
      <c r="D1" s="168"/>
      <c r="E1" s="168"/>
      <c r="F1" s="168" t="s">
        <v>101</v>
      </c>
      <c r="G1" s="168" t="s">
        <v>155</v>
      </c>
      <c r="H1" s="168" t="s">
        <v>163</v>
      </c>
      <c r="I1" s="168" t="s">
        <v>176</v>
      </c>
      <c r="J1" s="168" t="s">
        <v>475</v>
      </c>
      <c r="K1" s="169" t="s">
        <v>1</v>
      </c>
    </row>
    <row r="2" spans="1:11" x14ac:dyDescent="0.25">
      <c r="A2" s="171"/>
      <c r="B2" s="173"/>
      <c r="C2" s="175" t="s">
        <v>102</v>
      </c>
      <c r="D2" s="175"/>
      <c r="E2" s="175"/>
      <c r="F2" s="179"/>
      <c r="G2" s="179"/>
      <c r="H2" s="179"/>
      <c r="I2" s="179"/>
      <c r="J2" s="179"/>
      <c r="K2" s="204"/>
    </row>
    <row r="3" spans="1:11" x14ac:dyDescent="0.25">
      <c r="A3" s="171"/>
      <c r="B3" s="173"/>
      <c r="C3" s="175"/>
      <c r="D3" s="175" t="s">
        <v>103</v>
      </c>
      <c r="E3" s="175"/>
      <c r="F3" s="179">
        <v>9980919.0399999991</v>
      </c>
      <c r="G3" s="179">
        <v>9980919.0399999991</v>
      </c>
      <c r="H3" s="179">
        <v>9980919.0399999991</v>
      </c>
      <c r="I3" s="179">
        <v>9980921.7599999998</v>
      </c>
      <c r="J3" s="179">
        <v>9980921.3499999996</v>
      </c>
      <c r="K3" s="204">
        <f>SUM(F3:J3)</f>
        <v>49904600.229999997</v>
      </c>
    </row>
    <row r="4" spans="1:11" x14ac:dyDescent="0.25">
      <c r="A4" s="171"/>
      <c r="B4" s="173"/>
      <c r="C4" s="175"/>
      <c r="D4" s="175" t="s">
        <v>104</v>
      </c>
      <c r="E4" s="175"/>
      <c r="F4" s="179">
        <v>1340944</v>
      </c>
      <c r="G4" s="179">
        <v>2122750</v>
      </c>
      <c r="H4" s="179">
        <v>2173609</v>
      </c>
      <c r="I4" s="179">
        <v>1495232.15</v>
      </c>
      <c r="J4" s="179">
        <v>2005999.35</v>
      </c>
      <c r="K4" s="204">
        <f t="shared" ref="K4:K5" si="0">SUM(F4:J4)</f>
        <v>9138534.5</v>
      </c>
    </row>
    <row r="5" spans="1:11" ht="15.75" thickBot="1" x14ac:dyDescent="0.3">
      <c r="A5" s="171"/>
      <c r="B5" s="173"/>
      <c r="C5" s="175"/>
      <c r="D5" s="175" t="s">
        <v>105</v>
      </c>
      <c r="E5" s="175"/>
      <c r="F5" s="179">
        <v>-537847.63</v>
      </c>
      <c r="G5" s="179">
        <v>-604715.54</v>
      </c>
      <c r="H5" s="179">
        <v>-587612.68999999994</v>
      </c>
      <c r="I5" s="179">
        <v>-537657.13</v>
      </c>
      <c r="J5" s="179">
        <v>-546278.1</v>
      </c>
      <c r="K5" s="204">
        <f t="shared" si="0"/>
        <v>-2814111.09</v>
      </c>
    </row>
    <row r="6" spans="1:11" ht="15.75" thickBot="1" x14ac:dyDescent="0.3">
      <c r="A6" s="171"/>
      <c r="B6" s="181"/>
      <c r="C6" s="183" t="s">
        <v>106</v>
      </c>
      <c r="D6" s="183"/>
      <c r="E6" s="183"/>
      <c r="F6" s="184">
        <f t="shared" ref="F6:K6" si="1">SUM(F3:F5)</f>
        <v>10784015.409999998</v>
      </c>
      <c r="G6" s="184">
        <f t="shared" si="1"/>
        <v>11498953.5</v>
      </c>
      <c r="H6" s="184">
        <f t="shared" si="1"/>
        <v>11566915.35</v>
      </c>
      <c r="I6" s="184">
        <f t="shared" si="1"/>
        <v>10938496.779999999</v>
      </c>
      <c r="J6" s="184">
        <f>SUM(J3:J5)</f>
        <v>11440642.6</v>
      </c>
      <c r="K6" s="185">
        <f t="shared" si="1"/>
        <v>56229023.640000001</v>
      </c>
    </row>
    <row r="7" spans="1:11" ht="21.75" customHeight="1" x14ac:dyDescent="0.25">
      <c r="A7" s="171"/>
      <c r="B7" s="173" t="s">
        <v>107</v>
      </c>
      <c r="C7" s="175"/>
      <c r="D7" s="175"/>
      <c r="E7" s="175"/>
      <c r="F7" s="179"/>
      <c r="G7" s="179"/>
      <c r="H7" s="179"/>
      <c r="I7" s="179"/>
      <c r="J7" s="179"/>
      <c r="K7" s="204"/>
    </row>
    <row r="8" spans="1:11" x14ac:dyDescent="0.25">
      <c r="A8" s="171"/>
      <c r="B8" s="173"/>
      <c r="C8" s="175" t="s">
        <v>108</v>
      </c>
      <c r="D8" s="175"/>
      <c r="E8" s="175"/>
      <c r="F8" s="179"/>
      <c r="G8" s="179"/>
      <c r="H8" s="179"/>
      <c r="I8" s="179"/>
      <c r="J8" s="179"/>
      <c r="K8" s="204"/>
    </row>
    <row r="9" spans="1:11" x14ac:dyDescent="0.25">
      <c r="A9" s="171"/>
      <c r="B9" s="173"/>
      <c r="C9" s="175"/>
      <c r="D9" s="175" t="s">
        <v>109</v>
      </c>
      <c r="E9" s="175"/>
      <c r="F9" s="179">
        <v>2523500</v>
      </c>
      <c r="G9" s="179">
        <v>2754754</v>
      </c>
      <c r="H9" s="179">
        <v>2754754</v>
      </c>
      <c r="I9" s="179">
        <v>2060992</v>
      </c>
      <c r="J9" s="179">
        <v>2523500</v>
      </c>
      <c r="K9" s="204">
        <f>SUM(F9:J9)</f>
        <v>12617500</v>
      </c>
    </row>
    <row r="10" spans="1:11" x14ac:dyDescent="0.25">
      <c r="A10" s="171"/>
      <c r="B10" s="173"/>
      <c r="C10" s="175"/>
      <c r="D10" s="175" t="s">
        <v>110</v>
      </c>
      <c r="E10" s="175"/>
      <c r="F10" s="179">
        <v>1337035.1399999999</v>
      </c>
      <c r="G10" s="179">
        <v>1337035.1399999999</v>
      </c>
      <c r="H10" s="179">
        <v>1337035.1399999999</v>
      </c>
      <c r="I10" s="179">
        <v>1337035.1399999999</v>
      </c>
      <c r="J10" s="179">
        <v>1337035.1399999999</v>
      </c>
      <c r="K10" s="204">
        <f>SUM(F10:J10)</f>
        <v>6685175.6999999993</v>
      </c>
    </row>
    <row r="11" spans="1:11" x14ac:dyDescent="0.25">
      <c r="A11" s="171"/>
      <c r="B11" s="173"/>
      <c r="C11" s="175"/>
      <c r="D11" s="175" t="s">
        <v>111</v>
      </c>
      <c r="E11" s="175"/>
      <c r="F11" s="179">
        <v>0</v>
      </c>
      <c r="G11" s="179">
        <v>243750</v>
      </c>
      <c r="H11" s="179">
        <v>0</v>
      </c>
      <c r="I11" s="179">
        <v>1170000</v>
      </c>
      <c r="J11" s="179">
        <v>340000</v>
      </c>
      <c r="K11" s="204">
        <f>SUM(F11:J11)</f>
        <v>1753750</v>
      </c>
    </row>
    <row r="12" spans="1:11" x14ac:dyDescent="0.25">
      <c r="A12" s="171"/>
      <c r="B12" s="173"/>
      <c r="C12" s="175"/>
      <c r="D12" s="175" t="s">
        <v>112</v>
      </c>
      <c r="E12" s="175"/>
      <c r="F12" s="179"/>
      <c r="G12" s="179"/>
      <c r="H12" s="179"/>
      <c r="I12" s="179"/>
      <c r="J12" s="179"/>
      <c r="K12" s="204"/>
    </row>
    <row r="13" spans="1:11" x14ac:dyDescent="0.25">
      <c r="A13" s="171"/>
      <c r="B13" s="173"/>
      <c r="C13" s="175"/>
      <c r="D13" s="175"/>
      <c r="E13" s="175" t="s">
        <v>113</v>
      </c>
      <c r="F13" s="179">
        <v>10000</v>
      </c>
      <c r="G13" s="179">
        <v>0</v>
      </c>
      <c r="H13" s="179">
        <v>6000</v>
      </c>
      <c r="I13" s="179">
        <v>0</v>
      </c>
      <c r="J13" s="179">
        <v>3000</v>
      </c>
      <c r="K13" s="204">
        <f t="shared" ref="K13:K18" si="2">SUM(F13:J13)</f>
        <v>19000</v>
      </c>
    </row>
    <row r="14" spans="1:11" x14ac:dyDescent="0.25">
      <c r="A14" s="171"/>
      <c r="B14" s="173"/>
      <c r="C14" s="175"/>
      <c r="D14" s="175"/>
      <c r="E14" s="175" t="s">
        <v>114</v>
      </c>
      <c r="F14" s="179">
        <v>1217995</v>
      </c>
      <c r="G14" s="179">
        <v>1137365</v>
      </c>
      <c r="H14" s="179">
        <v>1044280</v>
      </c>
      <c r="I14" s="179">
        <v>863575</v>
      </c>
      <c r="J14" s="179">
        <v>1043265</v>
      </c>
      <c r="K14" s="204">
        <f t="shared" si="2"/>
        <v>5306480</v>
      </c>
    </row>
    <row r="15" spans="1:11" x14ac:dyDescent="0.25">
      <c r="A15" s="171"/>
      <c r="B15" s="173"/>
      <c r="C15" s="175"/>
      <c r="D15" s="175"/>
      <c r="E15" s="175" t="s">
        <v>115</v>
      </c>
      <c r="F15" s="179">
        <v>1380346</v>
      </c>
      <c r="G15" s="179">
        <v>2771219</v>
      </c>
      <c r="H15" s="179">
        <v>3164111</v>
      </c>
      <c r="I15" s="179">
        <v>2444545</v>
      </c>
      <c r="J15" s="179">
        <v>2769736</v>
      </c>
      <c r="K15" s="204">
        <f t="shared" si="2"/>
        <v>12529957</v>
      </c>
    </row>
    <row r="16" spans="1:11" ht="15.75" thickBot="1" x14ac:dyDescent="0.3">
      <c r="A16" s="171"/>
      <c r="B16" s="173"/>
      <c r="C16" s="175"/>
      <c r="D16" s="175"/>
      <c r="E16" s="175" t="s">
        <v>116</v>
      </c>
      <c r="F16" s="179">
        <v>63282</v>
      </c>
      <c r="G16" s="179">
        <v>58749</v>
      </c>
      <c r="H16" s="179">
        <v>0</v>
      </c>
      <c r="I16" s="179">
        <v>74782</v>
      </c>
      <c r="J16" s="179">
        <v>97523.79</v>
      </c>
      <c r="K16" s="204">
        <f t="shared" si="2"/>
        <v>294336.78999999998</v>
      </c>
    </row>
    <row r="17" spans="1:11" ht="18.75" customHeight="1" thickBot="1" x14ac:dyDescent="0.3">
      <c r="A17" s="171"/>
      <c r="B17" s="181"/>
      <c r="C17" s="183"/>
      <c r="D17" s="183" t="s">
        <v>117</v>
      </c>
      <c r="E17" s="183"/>
      <c r="F17" s="184">
        <f>ROUND(SUM(F12:F16),5)</f>
        <v>2671623</v>
      </c>
      <c r="G17" s="184">
        <f>ROUND(SUM(G12:G16),5)</f>
        <v>3967333</v>
      </c>
      <c r="H17" s="184">
        <f>ROUND(SUM(H12:H16),5)</f>
        <v>4214391</v>
      </c>
      <c r="I17" s="184">
        <f>ROUND(SUM(I12:I16),5)</f>
        <v>3382902</v>
      </c>
      <c r="J17" s="184">
        <f>ROUND(SUM(J12:J16),5)</f>
        <v>3913524.79</v>
      </c>
      <c r="K17" s="185">
        <f t="shared" si="2"/>
        <v>18149773.789999999</v>
      </c>
    </row>
    <row r="18" spans="1:11" ht="21.75" customHeight="1" x14ac:dyDescent="0.25">
      <c r="A18" s="171"/>
      <c r="B18" s="173"/>
      <c r="C18" s="175"/>
      <c r="D18" s="175" t="s">
        <v>118</v>
      </c>
      <c r="E18" s="175"/>
      <c r="F18" s="179">
        <v>739200</v>
      </c>
      <c r="G18" s="179">
        <v>723600</v>
      </c>
      <c r="H18" s="179">
        <v>726000</v>
      </c>
      <c r="I18" s="179">
        <v>723600</v>
      </c>
      <c r="J18" s="179">
        <v>720000</v>
      </c>
      <c r="K18" s="204">
        <f t="shared" si="2"/>
        <v>3632400</v>
      </c>
    </row>
    <row r="19" spans="1:11" x14ac:dyDescent="0.25">
      <c r="A19" s="171"/>
      <c r="B19" s="173"/>
      <c r="C19" s="175"/>
      <c r="D19" s="175" t="s">
        <v>119</v>
      </c>
      <c r="E19" s="175"/>
      <c r="F19" s="179"/>
      <c r="G19" s="179"/>
      <c r="H19" s="179"/>
      <c r="I19" s="179"/>
      <c r="J19" s="179"/>
      <c r="K19" s="204"/>
    </row>
    <row r="20" spans="1:11" x14ac:dyDescent="0.25">
      <c r="A20" s="171"/>
      <c r="B20" s="173"/>
      <c r="C20" s="175"/>
      <c r="D20" s="175"/>
      <c r="E20" s="175" t="s">
        <v>120</v>
      </c>
      <c r="F20" s="179">
        <v>97920</v>
      </c>
      <c r="G20" s="179">
        <v>97600</v>
      </c>
      <c r="H20" s="179">
        <v>96712</v>
      </c>
      <c r="I20" s="179">
        <v>96000</v>
      </c>
      <c r="J20" s="179">
        <v>94080</v>
      </c>
      <c r="K20" s="204">
        <f>SUM(F20:J20)</f>
        <v>482312</v>
      </c>
    </row>
    <row r="21" spans="1:11" x14ac:dyDescent="0.25">
      <c r="A21" s="171"/>
      <c r="B21" s="173"/>
      <c r="C21" s="175"/>
      <c r="D21" s="175"/>
      <c r="E21" s="175" t="s">
        <v>121</v>
      </c>
      <c r="F21" s="179">
        <v>257040</v>
      </c>
      <c r="G21" s="179">
        <v>259140</v>
      </c>
      <c r="H21" s="179">
        <v>257460</v>
      </c>
      <c r="I21" s="179">
        <v>254520</v>
      </c>
      <c r="J21" s="179">
        <v>253260</v>
      </c>
      <c r="K21" s="204">
        <f>SUM(F21:J21)</f>
        <v>1281420</v>
      </c>
    </row>
    <row r="22" spans="1:11" x14ac:dyDescent="0.25">
      <c r="A22" s="171"/>
      <c r="B22" s="173"/>
      <c r="C22" s="175"/>
      <c r="D22" s="175"/>
      <c r="E22" s="175" t="s">
        <v>122</v>
      </c>
      <c r="F22" s="179">
        <v>91800</v>
      </c>
      <c r="G22" s="179">
        <v>91500</v>
      </c>
      <c r="H22" s="179">
        <v>90667.5</v>
      </c>
      <c r="I22" s="179">
        <v>90000</v>
      </c>
      <c r="J22" s="179">
        <v>88200</v>
      </c>
      <c r="K22" s="204">
        <f>SUM(F22:J22)</f>
        <v>452167.5</v>
      </c>
    </row>
    <row r="23" spans="1:11" x14ac:dyDescent="0.25">
      <c r="A23" s="171"/>
      <c r="B23" s="173"/>
      <c r="C23" s="175"/>
      <c r="D23" s="175"/>
      <c r="E23" s="175" t="s">
        <v>123</v>
      </c>
      <c r="F23" s="179">
        <v>0</v>
      </c>
      <c r="G23" s="179">
        <v>0</v>
      </c>
      <c r="H23" s="179">
        <v>0</v>
      </c>
      <c r="I23" s="179">
        <v>0</v>
      </c>
      <c r="J23" s="179">
        <v>0</v>
      </c>
      <c r="K23" s="204">
        <f>SUM(F23:J23)</f>
        <v>0</v>
      </c>
    </row>
    <row r="24" spans="1:11" ht="15.75" thickBot="1" x14ac:dyDescent="0.3">
      <c r="A24" s="171"/>
      <c r="B24" s="173"/>
      <c r="C24" s="175"/>
      <c r="D24" s="175"/>
      <c r="E24" s="175" t="s">
        <v>124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04">
        <f>SUM(F24:J24)</f>
        <v>0</v>
      </c>
    </row>
    <row r="25" spans="1:11" ht="22.5" customHeight="1" thickBot="1" x14ac:dyDescent="0.3">
      <c r="A25" s="171"/>
      <c r="B25" s="181"/>
      <c r="C25" s="183"/>
      <c r="D25" s="183" t="s">
        <v>125</v>
      </c>
      <c r="E25" s="183"/>
      <c r="F25" s="184">
        <f t="shared" ref="F25:K25" si="3">ROUND(SUM(F19:F24),5)</f>
        <v>446760</v>
      </c>
      <c r="G25" s="184">
        <f t="shared" si="3"/>
        <v>448240</v>
      </c>
      <c r="H25" s="184">
        <f t="shared" si="3"/>
        <v>444839.5</v>
      </c>
      <c r="I25" s="184">
        <f t="shared" si="3"/>
        <v>440520</v>
      </c>
      <c r="J25" s="184">
        <f t="shared" si="3"/>
        <v>435540</v>
      </c>
      <c r="K25" s="185">
        <f t="shared" si="3"/>
        <v>2215899.5</v>
      </c>
    </row>
    <row r="26" spans="1:11" x14ac:dyDescent="0.25">
      <c r="A26" s="171"/>
      <c r="B26" s="173"/>
      <c r="C26" s="175"/>
      <c r="D26" s="175" t="s">
        <v>126</v>
      </c>
      <c r="E26" s="175"/>
      <c r="F26" s="179">
        <v>0</v>
      </c>
      <c r="G26" s="179">
        <v>0</v>
      </c>
      <c r="H26" s="179">
        <v>0</v>
      </c>
      <c r="I26" s="179">
        <v>0</v>
      </c>
      <c r="J26" s="179">
        <v>0</v>
      </c>
      <c r="K26" s="204">
        <f>SUM(F26:J26)</f>
        <v>0</v>
      </c>
    </row>
    <row r="27" spans="1:11" ht="15.75" thickBot="1" x14ac:dyDescent="0.3">
      <c r="A27" s="171"/>
      <c r="B27" s="173"/>
      <c r="C27" s="175"/>
      <c r="D27" s="175" t="s">
        <v>127</v>
      </c>
      <c r="E27" s="175"/>
      <c r="F27" s="220">
        <v>125000</v>
      </c>
      <c r="G27" s="220">
        <v>0</v>
      </c>
      <c r="H27" s="220">
        <v>0</v>
      </c>
      <c r="I27" s="220">
        <v>0</v>
      </c>
      <c r="J27" s="220">
        <v>0</v>
      </c>
      <c r="K27" s="204">
        <f>SUM(F27:J27)</f>
        <v>125000</v>
      </c>
    </row>
    <row r="28" spans="1:11" ht="21" customHeight="1" thickBot="1" x14ac:dyDescent="0.3">
      <c r="A28" s="171"/>
      <c r="B28" s="181"/>
      <c r="C28" s="183" t="s">
        <v>128</v>
      </c>
      <c r="D28" s="183"/>
      <c r="E28" s="183"/>
      <c r="F28" s="184">
        <f t="shared" ref="F28" si="4">+F17+F9+F10+F11+F18+F25+F26+F27</f>
        <v>7843118.1399999997</v>
      </c>
      <c r="G28" s="184">
        <f t="shared" ref="G28:H28" si="5">+G17+G9+G10+G11+G18+G25+G26+G27</f>
        <v>9474712.1400000006</v>
      </c>
      <c r="H28" s="184">
        <f t="shared" si="5"/>
        <v>9477019.6400000006</v>
      </c>
      <c r="I28" s="184">
        <f>+I17+I9+I10+I11+I18+I25+I26+I27</f>
        <v>9115049.1400000006</v>
      </c>
      <c r="J28" s="184">
        <f>+J17+J9+J10+J11+J18+J25+J26+J27</f>
        <v>9269599.9299999997</v>
      </c>
      <c r="K28" s="185">
        <f>+K17+K9+K10+K11+K18+K25+K26+K27</f>
        <v>45179498.989999995</v>
      </c>
    </row>
    <row r="29" spans="1:11" x14ac:dyDescent="0.25">
      <c r="A29" s="171"/>
      <c r="B29" s="173"/>
      <c r="C29" s="175" t="s">
        <v>129</v>
      </c>
      <c r="D29" s="175"/>
      <c r="E29" s="175"/>
      <c r="F29" s="179"/>
      <c r="G29" s="179"/>
      <c r="H29" s="179"/>
      <c r="I29" s="179"/>
      <c r="J29" s="179"/>
      <c r="K29" s="204"/>
    </row>
    <row r="30" spans="1:11" x14ac:dyDescent="0.25">
      <c r="A30" s="171"/>
      <c r="B30" s="173"/>
      <c r="C30" s="175"/>
      <c r="D30" s="175" t="s">
        <v>131</v>
      </c>
      <c r="E30" s="175"/>
      <c r="F30" s="179">
        <v>0</v>
      </c>
      <c r="G30" s="179">
        <v>0</v>
      </c>
      <c r="H30" s="179">
        <v>0</v>
      </c>
      <c r="I30" s="179">
        <v>0</v>
      </c>
      <c r="J30" s="179">
        <v>0</v>
      </c>
      <c r="K30" s="204">
        <f t="shared" ref="K30:K38" si="6">SUM(F30:J30)</f>
        <v>0</v>
      </c>
    </row>
    <row r="31" spans="1:11" x14ac:dyDescent="0.25">
      <c r="A31" s="171"/>
      <c r="B31" s="173"/>
      <c r="C31" s="175"/>
      <c r="D31" s="175" t="s">
        <v>132</v>
      </c>
      <c r="E31" s="175"/>
      <c r="F31" s="179">
        <v>264288.76</v>
      </c>
      <c r="G31" s="179">
        <v>260788</v>
      </c>
      <c r="H31" s="179">
        <v>174805.97</v>
      </c>
      <c r="I31" s="179">
        <v>542802.76</v>
      </c>
      <c r="J31" s="179">
        <v>38956.53</v>
      </c>
      <c r="K31" s="204">
        <f t="shared" si="6"/>
        <v>1281642.02</v>
      </c>
    </row>
    <row r="32" spans="1:11" x14ac:dyDescent="0.25">
      <c r="A32" s="171"/>
      <c r="B32" s="173"/>
      <c r="C32" s="175"/>
      <c r="D32" s="175" t="s">
        <v>133</v>
      </c>
      <c r="E32" s="175"/>
      <c r="F32" s="179">
        <v>500000</v>
      </c>
      <c r="G32" s="179">
        <v>0</v>
      </c>
      <c r="H32" s="179">
        <v>354000</v>
      </c>
      <c r="I32" s="179">
        <v>45000</v>
      </c>
      <c r="J32" s="179">
        <v>81627.81</v>
      </c>
      <c r="K32" s="204">
        <f t="shared" si="6"/>
        <v>980627.81</v>
      </c>
    </row>
    <row r="33" spans="1:11" x14ac:dyDescent="0.25">
      <c r="A33" s="171"/>
      <c r="B33" s="173"/>
      <c r="C33" s="175"/>
      <c r="D33" s="175" t="s">
        <v>134</v>
      </c>
      <c r="E33" s="175"/>
      <c r="F33" s="179">
        <v>0</v>
      </c>
      <c r="G33" s="179">
        <v>0</v>
      </c>
      <c r="H33" s="179">
        <v>40000</v>
      </c>
      <c r="I33" s="179">
        <v>0</v>
      </c>
      <c r="J33" s="179">
        <v>0</v>
      </c>
      <c r="K33" s="204">
        <f t="shared" si="6"/>
        <v>40000</v>
      </c>
    </row>
    <row r="34" spans="1:11" x14ac:dyDescent="0.25">
      <c r="A34" s="171"/>
      <c r="B34" s="173"/>
      <c r="C34" s="175"/>
      <c r="D34" s="175" t="s">
        <v>135</v>
      </c>
      <c r="E34" s="175"/>
      <c r="F34" s="179">
        <v>251780.05</v>
      </c>
      <c r="G34" s="179">
        <v>24000</v>
      </c>
      <c r="H34" s="179">
        <v>45000</v>
      </c>
      <c r="I34" s="179">
        <v>183580.03</v>
      </c>
      <c r="J34" s="179">
        <v>305210</v>
      </c>
      <c r="K34" s="204">
        <f t="shared" si="6"/>
        <v>809570.08</v>
      </c>
    </row>
    <row r="35" spans="1:11" x14ac:dyDescent="0.25">
      <c r="A35" s="171"/>
      <c r="B35" s="173"/>
      <c r="C35" s="175"/>
      <c r="D35" s="175" t="s">
        <v>177</v>
      </c>
      <c r="E35" s="175"/>
      <c r="F35" s="179">
        <v>0</v>
      </c>
      <c r="G35" s="179"/>
      <c r="H35" s="179">
        <v>453750</v>
      </c>
      <c r="I35" s="179">
        <v>48720</v>
      </c>
      <c r="J35" s="179">
        <v>0</v>
      </c>
      <c r="K35" s="204">
        <f t="shared" si="6"/>
        <v>502470</v>
      </c>
    </row>
    <row r="36" spans="1:11" x14ac:dyDescent="0.25">
      <c r="A36" s="171"/>
      <c r="B36" s="173"/>
      <c r="C36" s="175"/>
      <c r="D36" s="175" t="s">
        <v>136</v>
      </c>
      <c r="E36" s="175"/>
      <c r="F36" s="179">
        <v>105000</v>
      </c>
      <c r="G36" s="179">
        <v>0</v>
      </c>
      <c r="H36" s="179">
        <v>0</v>
      </c>
      <c r="I36" s="179">
        <v>0</v>
      </c>
      <c r="J36" s="179">
        <v>48000</v>
      </c>
      <c r="K36" s="204">
        <f t="shared" si="6"/>
        <v>153000</v>
      </c>
    </row>
    <row r="37" spans="1:11" x14ac:dyDescent="0.25">
      <c r="A37" s="171"/>
      <c r="B37" s="173"/>
      <c r="C37" s="175"/>
      <c r="D37" s="175" t="s">
        <v>137</v>
      </c>
      <c r="E37" s="175"/>
      <c r="F37" s="179">
        <v>0</v>
      </c>
      <c r="G37" s="179">
        <v>18700</v>
      </c>
      <c r="H37" s="179">
        <v>37400</v>
      </c>
      <c r="I37" s="179">
        <v>18700</v>
      </c>
      <c r="J37" s="179">
        <v>8190</v>
      </c>
      <c r="K37" s="204">
        <f t="shared" si="6"/>
        <v>82990</v>
      </c>
    </row>
    <row r="38" spans="1:11" ht="15.75" thickBot="1" x14ac:dyDescent="0.3">
      <c r="A38" s="171"/>
      <c r="B38" s="173"/>
      <c r="C38" s="175"/>
      <c r="D38" s="175" t="s">
        <v>138</v>
      </c>
      <c r="E38" s="175"/>
      <c r="F38" s="179">
        <v>0</v>
      </c>
      <c r="G38" s="179">
        <v>237655.7</v>
      </c>
      <c r="H38" s="179">
        <v>45200</v>
      </c>
      <c r="I38" s="179">
        <v>180000</v>
      </c>
      <c r="J38" s="179">
        <v>50000</v>
      </c>
      <c r="K38" s="204">
        <f t="shared" si="6"/>
        <v>512855.7</v>
      </c>
    </row>
    <row r="39" spans="1:11" ht="20.25" customHeight="1" thickBot="1" x14ac:dyDescent="0.3">
      <c r="A39" s="171"/>
      <c r="B39" s="181"/>
      <c r="C39" s="183" t="s">
        <v>139</v>
      </c>
      <c r="D39" s="183"/>
      <c r="E39" s="183"/>
      <c r="F39" s="184">
        <f>ROUND(SUM(F29:F38),5)</f>
        <v>1121068.81</v>
      </c>
      <c r="G39" s="184">
        <f>ROUND(SUM(G29:G38),5)</f>
        <v>541143.69999999995</v>
      </c>
      <c r="H39" s="184">
        <f>ROUND(SUM(H29:H38),5)</f>
        <v>1150155.97</v>
      </c>
      <c r="I39" s="184">
        <f>ROUND(SUM(I29:I38),5)</f>
        <v>1018802.79</v>
      </c>
      <c r="J39" s="184">
        <f>ROUND(SUM(J29:J38),5)</f>
        <v>531984.34</v>
      </c>
      <c r="K39" s="185">
        <f>SUM(F39:J39)</f>
        <v>4363155.6100000003</v>
      </c>
    </row>
    <row r="40" spans="1:11" ht="20.25" customHeight="1" thickBot="1" x14ac:dyDescent="0.3">
      <c r="A40" s="171"/>
      <c r="B40" s="181"/>
      <c r="C40" s="183" t="s">
        <v>140</v>
      </c>
      <c r="D40" s="183"/>
      <c r="E40" s="183"/>
      <c r="F40" s="184">
        <f>+F28+F39</f>
        <v>8964186.9499999993</v>
      </c>
      <c r="G40" s="184">
        <f>+G28+G39</f>
        <v>10015855.84</v>
      </c>
      <c r="H40" s="184">
        <f>+H28+H39</f>
        <v>10627175.610000001</v>
      </c>
      <c r="I40" s="184">
        <f>+I28+I39</f>
        <v>10133851.93</v>
      </c>
      <c r="J40" s="184">
        <f>+J28+J39</f>
        <v>9801584.2699999996</v>
      </c>
      <c r="K40" s="185">
        <f>+K28+K39</f>
        <v>49542654.599999994</v>
      </c>
    </row>
    <row r="41" spans="1:11" ht="20.25" customHeight="1" thickBot="1" x14ac:dyDescent="0.3">
      <c r="A41" s="171"/>
      <c r="B41" s="173"/>
      <c r="C41" s="175"/>
      <c r="D41" s="175" t="s">
        <v>141</v>
      </c>
      <c r="E41" s="175"/>
      <c r="F41" s="179">
        <v>0</v>
      </c>
      <c r="G41" s="179">
        <v>0</v>
      </c>
      <c r="H41" s="179">
        <v>0</v>
      </c>
      <c r="I41" s="179">
        <v>0</v>
      </c>
      <c r="J41" s="179">
        <v>5382000</v>
      </c>
      <c r="K41" s="204">
        <f>SUM(F41:J41)</f>
        <v>5382000</v>
      </c>
    </row>
    <row r="42" spans="1:11" ht="20.25" customHeight="1" thickBot="1" x14ac:dyDescent="0.3">
      <c r="A42" s="171"/>
      <c r="B42" s="242" t="s">
        <v>142</v>
      </c>
      <c r="C42" s="243"/>
      <c r="D42" s="243"/>
      <c r="E42" s="243"/>
      <c r="F42" s="244">
        <f>+F6-F40-F41</f>
        <v>1819828.459999999</v>
      </c>
      <c r="G42" s="244">
        <f>+G6-G40-G41</f>
        <v>1483097.6600000001</v>
      </c>
      <c r="H42" s="244">
        <f>+H6-H40-H41</f>
        <v>939739.73999999836</v>
      </c>
      <c r="I42" s="244">
        <f>+I6-I40-I41</f>
        <v>804644.84999999963</v>
      </c>
      <c r="J42" s="244">
        <f>+J6-J40-J41</f>
        <v>-3742941.67</v>
      </c>
      <c r="K42" s="245">
        <f>+K6-K40-K41</f>
        <v>1304369.0400000066</v>
      </c>
    </row>
    <row r="43" spans="1:11" ht="20.25" customHeight="1" x14ac:dyDescent="0.25">
      <c r="A43" s="171"/>
      <c r="B43" s="173" t="s">
        <v>59</v>
      </c>
      <c r="C43" s="175"/>
      <c r="D43" s="175"/>
      <c r="E43" s="175"/>
      <c r="F43" s="179"/>
      <c r="G43" s="179"/>
      <c r="H43" s="179"/>
      <c r="I43" s="179"/>
      <c r="J43" s="179"/>
      <c r="K43" s="204"/>
    </row>
    <row r="44" spans="1:11" ht="17.25" customHeight="1" x14ac:dyDescent="0.25">
      <c r="A44" s="171"/>
      <c r="B44" s="173" t="s">
        <v>143</v>
      </c>
      <c r="C44" s="175"/>
      <c r="D44" s="175"/>
      <c r="E44" s="175"/>
      <c r="F44" s="179"/>
      <c r="G44" s="179"/>
      <c r="H44" s="179"/>
      <c r="I44" s="179"/>
      <c r="J44" s="179"/>
      <c r="K44" s="204"/>
    </row>
    <row r="45" spans="1:11" ht="15.75" customHeight="1" x14ac:dyDescent="0.25">
      <c r="A45" s="171"/>
      <c r="B45" s="173"/>
      <c r="C45" s="175" t="s">
        <v>144</v>
      </c>
      <c r="D45" s="175"/>
      <c r="E45" s="175"/>
      <c r="F45" s="179">
        <v>45000</v>
      </c>
      <c r="G45" s="179">
        <v>45000</v>
      </c>
      <c r="H45" s="179">
        <v>45000</v>
      </c>
      <c r="I45" s="179">
        <v>5000</v>
      </c>
      <c r="J45" s="179">
        <v>2500</v>
      </c>
      <c r="K45" s="204">
        <f>SUM(F45:J45)</f>
        <v>142500</v>
      </c>
    </row>
    <row r="46" spans="1:11" ht="15.75" thickBot="1" x14ac:dyDescent="0.3">
      <c r="A46" s="171"/>
      <c r="B46" s="328"/>
      <c r="C46" s="329" t="s">
        <v>145</v>
      </c>
      <c r="D46" s="329"/>
      <c r="E46" s="329"/>
      <c r="F46" s="220"/>
      <c r="G46" s="220"/>
      <c r="H46" s="220"/>
      <c r="I46" s="220"/>
      <c r="J46" s="220"/>
      <c r="K46" s="301"/>
    </row>
    <row r="47" spans="1:11" x14ac:dyDescent="0.25">
      <c r="A47" s="172"/>
      <c r="B47" s="173"/>
      <c r="C47" s="175" t="s">
        <v>146</v>
      </c>
      <c r="D47" s="175"/>
      <c r="E47" s="175"/>
      <c r="F47" s="179">
        <v>7056.39</v>
      </c>
      <c r="G47" s="179">
        <v>0</v>
      </c>
      <c r="H47" s="179">
        <v>10520.48</v>
      </c>
      <c r="I47" s="179">
        <v>0</v>
      </c>
      <c r="J47" s="179">
        <v>0</v>
      </c>
      <c r="K47" s="204">
        <f>SUM(F47:J47)</f>
        <v>17576.87</v>
      </c>
    </row>
    <row r="48" spans="1:11" x14ac:dyDescent="0.25">
      <c r="A48" s="171"/>
      <c r="B48" s="173"/>
      <c r="C48" s="175" t="s">
        <v>147</v>
      </c>
      <c r="D48" s="175"/>
      <c r="E48" s="175"/>
      <c r="F48" s="179">
        <v>892167.31</v>
      </c>
      <c r="G48" s="179">
        <v>2682670.4500000002</v>
      </c>
      <c r="H48" s="179">
        <v>1089832.3400000001</v>
      </c>
      <c r="I48" s="179">
        <v>630924.36</v>
      </c>
      <c r="J48" s="179">
        <v>728894.76</v>
      </c>
      <c r="K48" s="204">
        <f>SUM(F48:J48)</f>
        <v>6024489.2200000007</v>
      </c>
    </row>
    <row r="49" spans="1:11" x14ac:dyDescent="0.25">
      <c r="A49" s="171"/>
      <c r="B49" s="173"/>
      <c r="C49" s="175" t="s">
        <v>148</v>
      </c>
      <c r="D49" s="175"/>
      <c r="E49" s="175"/>
      <c r="F49" s="179">
        <v>0</v>
      </c>
      <c r="G49" s="179">
        <v>0</v>
      </c>
      <c r="H49" s="179">
        <v>0</v>
      </c>
      <c r="I49" s="179">
        <v>5930</v>
      </c>
      <c r="J49" s="179">
        <v>5980</v>
      </c>
      <c r="K49" s="204">
        <f>SUM(F49:J49)</f>
        <v>11910</v>
      </c>
    </row>
    <row r="50" spans="1:11" ht="15.75" thickBot="1" x14ac:dyDescent="0.3">
      <c r="A50" s="171"/>
      <c r="B50" s="173"/>
      <c r="C50" s="175" t="s">
        <v>149</v>
      </c>
      <c r="D50" s="175"/>
      <c r="E50" s="175"/>
      <c r="F50" s="179">
        <v>0</v>
      </c>
      <c r="G50" s="179">
        <v>0</v>
      </c>
      <c r="H50" s="179">
        <v>0</v>
      </c>
      <c r="I50" s="179">
        <v>10000</v>
      </c>
      <c r="J50" s="179">
        <v>500.36</v>
      </c>
      <c r="K50" s="204">
        <f>SUM(F50:J50)</f>
        <v>10500.36</v>
      </c>
    </row>
    <row r="51" spans="1:11" ht="15.75" thickBot="1" x14ac:dyDescent="0.3">
      <c r="A51" s="171"/>
      <c r="B51" s="181"/>
      <c r="C51" s="183" t="s">
        <v>139</v>
      </c>
      <c r="D51" s="183"/>
      <c r="E51" s="183"/>
      <c r="F51" s="184">
        <f t="shared" ref="F51:K51" si="7">SUM(F45:F50)</f>
        <v>944223.70000000007</v>
      </c>
      <c r="G51" s="184">
        <f t="shared" si="7"/>
        <v>2727670.45</v>
      </c>
      <c r="H51" s="184">
        <f t="shared" si="7"/>
        <v>1145352.82</v>
      </c>
      <c r="I51" s="184">
        <f t="shared" si="7"/>
        <v>651854.36</v>
      </c>
      <c r="J51" s="184">
        <f t="shared" si="7"/>
        <v>737875.12</v>
      </c>
      <c r="K51" s="185">
        <f t="shared" si="7"/>
        <v>6206976.4500000011</v>
      </c>
    </row>
    <row r="52" spans="1:11" x14ac:dyDescent="0.25">
      <c r="A52" s="171"/>
      <c r="B52" s="173" t="s">
        <v>150</v>
      </c>
      <c r="C52" s="175"/>
      <c r="D52" s="175"/>
      <c r="E52" s="175"/>
      <c r="F52" s="179"/>
      <c r="G52" s="179"/>
      <c r="H52" s="179"/>
      <c r="I52" s="179"/>
      <c r="J52" s="179"/>
      <c r="K52" s="204"/>
    </row>
    <row r="53" spans="1:11" x14ac:dyDescent="0.25">
      <c r="A53" s="171"/>
      <c r="B53" s="173" t="s">
        <v>151</v>
      </c>
      <c r="C53" s="175"/>
      <c r="D53" s="175"/>
      <c r="E53" s="175"/>
      <c r="F53" s="179"/>
      <c r="G53" s="179"/>
      <c r="H53" s="179"/>
      <c r="I53" s="179"/>
      <c r="J53" s="179"/>
      <c r="K53" s="204"/>
    </row>
    <row r="54" spans="1:11" x14ac:dyDescent="0.25">
      <c r="A54" s="171"/>
      <c r="B54" s="173"/>
      <c r="C54" s="175" t="s">
        <v>152</v>
      </c>
      <c r="D54" s="175"/>
      <c r="E54" s="175"/>
      <c r="F54" s="179">
        <v>12242.87</v>
      </c>
      <c r="G54" s="179">
        <v>10130.16</v>
      </c>
      <c r="H54" s="179">
        <v>147124.75</v>
      </c>
      <c r="I54" s="179">
        <v>398624.56</v>
      </c>
      <c r="J54" s="179">
        <v>612970.69999999995</v>
      </c>
      <c r="K54" s="204">
        <f>SUM(F54:J54)</f>
        <v>1181093.04</v>
      </c>
    </row>
    <row r="55" spans="1:11" ht="15.75" customHeight="1" x14ac:dyDescent="0.25">
      <c r="A55" s="171"/>
      <c r="B55" s="173"/>
      <c r="C55" s="175" t="s">
        <v>153</v>
      </c>
      <c r="D55" s="175"/>
      <c r="E55" s="175"/>
      <c r="F55" s="179">
        <v>6457</v>
      </c>
      <c r="G55" s="179">
        <v>1535.5</v>
      </c>
      <c r="H55" s="179">
        <v>3610.05</v>
      </c>
      <c r="I55" s="179">
        <v>0</v>
      </c>
      <c r="J55" s="179">
        <v>2683.5</v>
      </c>
      <c r="K55" s="204">
        <f>SUM(F55:J55)</f>
        <v>14286.05</v>
      </c>
    </row>
    <row r="56" spans="1:11" ht="15.75" customHeight="1" thickBot="1" x14ac:dyDescent="0.3">
      <c r="A56" s="171"/>
      <c r="B56" s="173"/>
      <c r="C56" s="175" t="s">
        <v>169</v>
      </c>
      <c r="D56" s="175"/>
      <c r="E56" s="175"/>
      <c r="F56" s="179"/>
      <c r="G56" s="179">
        <v>0.37</v>
      </c>
      <c r="H56" s="179">
        <v>0</v>
      </c>
      <c r="I56" s="179">
        <v>0</v>
      </c>
      <c r="J56" s="179">
        <v>0.45</v>
      </c>
      <c r="K56" s="204">
        <f>SUM(F56:J56)</f>
        <v>0.82000000000000006</v>
      </c>
    </row>
    <row r="57" spans="1:11" ht="15.75" thickBot="1" x14ac:dyDescent="0.3">
      <c r="A57" s="172"/>
      <c r="B57" s="181" t="s">
        <v>154</v>
      </c>
      <c r="C57" s="183"/>
      <c r="D57" s="183"/>
      <c r="E57" s="183"/>
      <c r="F57" s="184">
        <f t="shared" ref="F57" si="8">SUM(F54:F55)</f>
        <v>18699.870000000003</v>
      </c>
      <c r="G57" s="184">
        <f>SUM(G54:G56)</f>
        <v>11666.03</v>
      </c>
      <c r="H57" s="184">
        <f>SUM(H54:H56)</f>
        <v>150734.79999999999</v>
      </c>
      <c r="I57" s="184">
        <f>SUM(I54:I56)</f>
        <v>398624.56</v>
      </c>
      <c r="J57" s="184">
        <f>SUM(J54:J56)</f>
        <v>615654.64999999991</v>
      </c>
      <c r="K57" s="185">
        <f>SUM(K54:K56)</f>
        <v>1195379.9100000001</v>
      </c>
    </row>
    <row r="58" spans="1:11" ht="15.75" thickBot="1" x14ac:dyDescent="0.3">
      <c r="A58" s="171"/>
      <c r="B58" s="242" t="s">
        <v>142</v>
      </c>
      <c r="C58" s="243"/>
      <c r="D58" s="243"/>
      <c r="E58" s="243"/>
      <c r="F58" s="244">
        <f t="shared" ref="F58" si="9">+F42+F51-F57</f>
        <v>2745352.2899999991</v>
      </c>
      <c r="G58" s="244">
        <f>+G42+G51-G57</f>
        <v>4199102.08</v>
      </c>
      <c r="H58" s="244">
        <f>+H42+H51-H57</f>
        <v>1934357.7599999984</v>
      </c>
      <c r="I58" s="244">
        <f>+I42+I51-I57</f>
        <v>1057874.6499999994</v>
      </c>
      <c r="J58" s="244">
        <f>+J42+J51-J57</f>
        <v>-3620721.1999999997</v>
      </c>
      <c r="K58" s="286">
        <f>+K42+K51-K57</f>
        <v>6315965.5800000075</v>
      </c>
    </row>
    <row r="59" spans="1:11" x14ac:dyDescent="0.25">
      <c r="A59" s="171"/>
    </row>
    <row r="60" spans="1:11" s="232" customFormat="1" ht="30" customHeight="1" x14ac:dyDescent="0.25">
      <c r="A60" s="171"/>
      <c r="B60" s="198" t="s">
        <v>3</v>
      </c>
      <c r="C60" s="202"/>
      <c r="D60" s="240"/>
      <c r="E60" s="240"/>
      <c r="F60" s="246"/>
      <c r="G60" s="246"/>
      <c r="H60" s="246"/>
      <c r="I60" s="246"/>
      <c r="J60" s="246"/>
      <c r="K60" s="246"/>
    </row>
    <row r="61" spans="1:11" x14ac:dyDescent="0.25">
      <c r="A61" s="171"/>
      <c r="B61" s="198" t="s">
        <v>3</v>
      </c>
      <c r="C61" s="202"/>
    </row>
  </sheetData>
  <pageMargins left="0.31496062992125984" right="0.19685039370078741" top="1.1023622047244095" bottom="0.64" header="0.39370078740157483" footer="0.6"/>
  <pageSetup scale="90" orientation="portrait" horizontalDpi="4294967294" r:id="rId1"/>
  <headerFooter>
    <oddHeader>&amp;C&amp;"Arial,Negrita"&amp;12 CONDOMINIO VISTAS A LA COLINA
Estado de Resultados (Expresado en Colones)
Enero  - Mayo  2019</oddHeader>
  </headerFooter>
  <ignoredErrors>
    <ignoredError sqref="F17:J17 F25:J25" formulaRange="1"/>
    <ignoredError sqref="K25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B6" sqref="B6"/>
    </sheetView>
  </sheetViews>
  <sheetFormatPr baseColWidth="10" defaultColWidth="11.42578125" defaultRowHeight="15" x14ac:dyDescent="0.25"/>
  <cols>
    <col min="1" max="1" width="31.28515625" style="136" customWidth="1"/>
    <col min="2" max="2" width="13.7109375" style="136" customWidth="1"/>
    <col min="3" max="3" width="11.42578125" style="136"/>
    <col min="4" max="4" width="16.28515625" style="136" bestFit="1" customWidth="1"/>
    <col min="5" max="5" width="13.85546875" style="136" bestFit="1" customWidth="1"/>
    <col min="6" max="6" width="16.85546875" style="136" customWidth="1"/>
    <col min="7" max="16384" width="11.42578125" style="136"/>
  </cols>
  <sheetData>
    <row r="1" spans="1:6" ht="15.75" thickBot="1" x14ac:dyDescent="0.3">
      <c r="A1" s="163" t="s">
        <v>53</v>
      </c>
      <c r="B1" s="164">
        <v>43586</v>
      </c>
    </row>
    <row r="2" spans="1:6" ht="10.15" customHeight="1" x14ac:dyDescent="0.25"/>
    <row r="3" spans="1:6" x14ac:dyDescent="0.25">
      <c r="A3" s="136" t="s">
        <v>52</v>
      </c>
      <c r="B3" s="155">
        <f>+'Balance General '!J11</f>
        <v>32392743.25</v>
      </c>
    </row>
    <row r="4" spans="1:6" x14ac:dyDescent="0.25">
      <c r="A4" s="136" t="s">
        <v>51</v>
      </c>
      <c r="B4" s="155">
        <f>+'Balance General '!J16</f>
        <v>12775784.98</v>
      </c>
      <c r="D4" s="330" t="s">
        <v>3</v>
      </c>
    </row>
    <row r="5" spans="1:6" x14ac:dyDescent="0.25">
      <c r="A5" s="136" t="s">
        <v>50</v>
      </c>
      <c r="B5" s="155">
        <f>+'Balance General '!J30</f>
        <v>1012492.89</v>
      </c>
      <c r="C5" s="152"/>
      <c r="D5" s="152"/>
    </row>
    <row r="6" spans="1:6" x14ac:dyDescent="0.25">
      <c r="A6" s="136" t="s">
        <v>49</v>
      </c>
      <c r="B6" s="155">
        <f>+'Balance General '!J26</f>
        <v>22436527.66</v>
      </c>
      <c r="C6" s="152"/>
      <c r="D6" s="152"/>
    </row>
    <row r="7" spans="1:6" x14ac:dyDescent="0.25">
      <c r="A7" s="157" t="s">
        <v>48</v>
      </c>
      <c r="B7" s="156">
        <f>+B3+B4-B5-B6</f>
        <v>21719507.680000003</v>
      </c>
      <c r="C7" s="152"/>
      <c r="D7" s="152"/>
    </row>
    <row r="8" spans="1:6" x14ac:dyDescent="0.25">
      <c r="B8" s="155"/>
      <c r="C8" s="152"/>
      <c r="D8" s="152"/>
    </row>
    <row r="9" spans="1:6" ht="30" x14ac:dyDescent="0.25">
      <c r="A9" s="154" t="s">
        <v>40</v>
      </c>
      <c r="B9" s="153">
        <f>+B7-B4</f>
        <v>8943722.700000003</v>
      </c>
      <c r="C9" s="152"/>
      <c r="D9" s="152"/>
    </row>
    <row r="10" spans="1:6" ht="15.75" thickBot="1" x14ac:dyDescent="0.3"/>
    <row r="11" spans="1:6" x14ac:dyDescent="0.25">
      <c r="A11" s="302" t="s">
        <v>47</v>
      </c>
      <c r="B11" s="303"/>
      <c r="C11" s="303"/>
      <c r="D11" s="303"/>
      <c r="E11" s="303"/>
      <c r="F11" s="304"/>
    </row>
    <row r="12" spans="1:6" ht="28.9" customHeight="1" x14ac:dyDescent="0.25">
      <c r="A12" s="305"/>
      <c r="B12" s="306"/>
      <c r="C12" s="306"/>
      <c r="D12" s="306"/>
      <c r="E12" s="306"/>
      <c r="F12" s="307"/>
    </row>
    <row r="13" spans="1:6" ht="30" x14ac:dyDescent="0.25">
      <c r="A13" s="151" t="s">
        <v>46</v>
      </c>
      <c r="B13" s="150" t="s">
        <v>45</v>
      </c>
      <c r="C13" s="149" t="s">
        <v>44</v>
      </c>
      <c r="D13" s="150" t="s">
        <v>43</v>
      </c>
      <c r="E13" s="149" t="s">
        <v>42</v>
      </c>
      <c r="F13" s="148" t="s">
        <v>41</v>
      </c>
    </row>
    <row r="14" spans="1:6" x14ac:dyDescent="0.25">
      <c r="A14" s="146" t="s">
        <v>3</v>
      </c>
      <c r="B14" s="145">
        <v>3</v>
      </c>
      <c r="C14" s="147">
        <v>0</v>
      </c>
      <c r="D14" s="147">
        <f t="shared" ref="D14:D20" si="0">+C14*B14</f>
        <v>0</v>
      </c>
      <c r="E14" s="147">
        <v>0</v>
      </c>
      <c r="F14" s="144">
        <f t="shared" ref="F14:F21" si="1">+IF(E14&gt;D14,0,D14-E14)</f>
        <v>0</v>
      </c>
    </row>
    <row r="15" spans="1:6" x14ac:dyDescent="0.25">
      <c r="A15" s="146"/>
      <c r="B15" s="145"/>
      <c r="C15" s="145"/>
      <c r="D15" s="147">
        <f t="shared" si="0"/>
        <v>0</v>
      </c>
      <c r="E15" s="145"/>
      <c r="F15" s="144">
        <f t="shared" si="1"/>
        <v>0</v>
      </c>
    </row>
    <row r="16" spans="1:6" x14ac:dyDescent="0.25">
      <c r="A16" s="146"/>
      <c r="B16" s="145"/>
      <c r="C16" s="145"/>
      <c r="D16" s="147">
        <f t="shared" si="0"/>
        <v>0</v>
      </c>
      <c r="E16" s="145"/>
      <c r="F16" s="144">
        <f t="shared" si="1"/>
        <v>0</v>
      </c>
    </row>
    <row r="17" spans="1:6" x14ac:dyDescent="0.25">
      <c r="A17" s="146"/>
      <c r="B17" s="145"/>
      <c r="C17" s="145"/>
      <c r="D17" s="147">
        <f t="shared" si="0"/>
        <v>0</v>
      </c>
      <c r="E17" s="145"/>
      <c r="F17" s="144">
        <f t="shared" si="1"/>
        <v>0</v>
      </c>
    </row>
    <row r="18" spans="1:6" x14ac:dyDescent="0.25">
      <c r="A18" s="146"/>
      <c r="B18" s="145"/>
      <c r="C18" s="145"/>
      <c r="D18" s="147">
        <f t="shared" si="0"/>
        <v>0</v>
      </c>
      <c r="E18" s="145"/>
      <c r="F18" s="144">
        <f t="shared" si="1"/>
        <v>0</v>
      </c>
    </row>
    <row r="19" spans="1:6" x14ac:dyDescent="0.25">
      <c r="A19" s="146"/>
      <c r="B19" s="145"/>
      <c r="C19" s="145"/>
      <c r="D19" s="147">
        <f t="shared" si="0"/>
        <v>0</v>
      </c>
      <c r="E19" s="145"/>
      <c r="F19" s="144">
        <f t="shared" si="1"/>
        <v>0</v>
      </c>
    </row>
    <row r="20" spans="1:6" x14ac:dyDescent="0.25">
      <c r="A20" s="146"/>
      <c r="B20" s="145"/>
      <c r="C20" s="145"/>
      <c r="D20" s="147">
        <f t="shared" si="0"/>
        <v>0</v>
      </c>
      <c r="E20" s="145"/>
      <c r="F20" s="144">
        <f t="shared" si="1"/>
        <v>0</v>
      </c>
    </row>
    <row r="21" spans="1:6" x14ac:dyDescent="0.25">
      <c r="A21" s="146"/>
      <c r="B21" s="145"/>
      <c r="C21" s="145"/>
      <c r="D21" s="145"/>
      <c r="E21" s="145"/>
      <c r="F21" s="144">
        <f t="shared" si="1"/>
        <v>0</v>
      </c>
    </row>
    <row r="22" spans="1:6" ht="15.75" thickBot="1" x14ac:dyDescent="0.3">
      <c r="A22" s="143"/>
      <c r="B22" s="142"/>
      <c r="C22" s="142"/>
      <c r="D22" s="141" t="s">
        <v>1</v>
      </c>
      <c r="E22" s="140">
        <f>SUM(E14:E21)</f>
        <v>0</v>
      </c>
      <c r="F22" s="139">
        <f>SUM(F14:F21)</f>
        <v>0</v>
      </c>
    </row>
    <row r="24" spans="1:6" ht="28.9" customHeight="1" x14ac:dyDescent="0.25">
      <c r="A24" s="308" t="s">
        <v>40</v>
      </c>
      <c r="B24" s="308"/>
      <c r="C24" s="308"/>
      <c r="D24" s="308"/>
      <c r="E24" s="138"/>
      <c r="F24" s="137">
        <f>+B9-E22</f>
        <v>8943722.700000003</v>
      </c>
    </row>
  </sheetData>
  <mergeCells count="2">
    <mergeCell ref="A11:F12"/>
    <mergeCell ref="A24:D24"/>
  </mergeCells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00"/>
  <sheetViews>
    <sheetView zoomScaleNormal="100" workbookViewId="0">
      <pane xSplit="1" ySplit="3" topLeftCell="B48" activePane="bottomRight" state="frozenSplit"/>
      <selection activeCell="E88" sqref="E88"/>
      <selection pane="topRight" activeCell="E88" sqref="E88"/>
      <selection pane="bottomLeft" activeCell="E88" sqref="E88"/>
      <selection pane="bottomRight" activeCell="B64" sqref="B64"/>
    </sheetView>
  </sheetViews>
  <sheetFormatPr baseColWidth="10" defaultRowHeight="12.75" x14ac:dyDescent="0.2"/>
  <cols>
    <col min="1" max="1" width="32.42578125" style="2" customWidth="1"/>
    <col min="2" max="2" width="14" style="3" customWidth="1"/>
    <col min="3" max="3" width="15.42578125" style="3" customWidth="1"/>
    <col min="4" max="4" width="12.85546875" style="3" customWidth="1"/>
    <col min="5" max="5" width="13.5703125" style="3" bestFit="1" customWidth="1"/>
    <col min="6" max="6" width="15.140625" style="3" bestFit="1" customWidth="1"/>
    <col min="7" max="7" width="12.85546875" bestFit="1" customWidth="1"/>
  </cols>
  <sheetData>
    <row r="1" spans="1:6" ht="13.5" thickBot="1" x14ac:dyDescent="0.25">
      <c r="A1" s="309" t="s">
        <v>7</v>
      </c>
      <c r="B1" s="310"/>
      <c r="C1" s="310"/>
      <c r="D1" s="310"/>
      <c r="E1" s="310"/>
      <c r="F1" s="311"/>
    </row>
    <row r="2" spans="1:6" ht="5.25" customHeight="1" thickBot="1" x14ac:dyDescent="0.25">
      <c r="A2" s="87"/>
      <c r="B2" s="88"/>
      <c r="C2" s="88"/>
      <c r="D2" s="88"/>
      <c r="E2" s="88"/>
      <c r="F2" s="89"/>
    </row>
    <row r="3" spans="1:6" s="1" customFormat="1" ht="13.5" thickBot="1" x14ac:dyDescent="0.25">
      <c r="A3" s="269"/>
      <c r="B3" s="270" t="s">
        <v>2</v>
      </c>
      <c r="C3" s="270" t="s">
        <v>9</v>
      </c>
      <c r="D3" s="270" t="s">
        <v>10</v>
      </c>
      <c r="E3" s="270" t="s">
        <v>11</v>
      </c>
      <c r="F3" s="271" t="s">
        <v>1</v>
      </c>
    </row>
    <row r="4" spans="1:6" s="1" customFormat="1" x14ac:dyDescent="0.2">
      <c r="A4" s="268" t="s">
        <v>413</v>
      </c>
      <c r="B4" s="78">
        <v>2000</v>
      </c>
      <c r="C4" s="78">
        <v>0</v>
      </c>
      <c r="D4" s="78">
        <v>0</v>
      </c>
      <c r="E4" s="326">
        <v>0</v>
      </c>
      <c r="F4" s="248">
        <f>SUM(B4:E4)</f>
        <v>2000</v>
      </c>
    </row>
    <row r="5" spans="1:6" s="1" customFormat="1" x14ac:dyDescent="0.2">
      <c r="A5" s="268" t="s">
        <v>414</v>
      </c>
      <c r="B5" s="78">
        <v>0</v>
      </c>
      <c r="C5" s="78">
        <v>2648</v>
      </c>
      <c r="D5" s="78">
        <v>0</v>
      </c>
      <c r="E5" s="326">
        <v>0</v>
      </c>
      <c r="F5" s="248">
        <f t="shared" ref="F5:F29" si="0">SUM(B5:E5)</f>
        <v>2648</v>
      </c>
    </row>
    <row r="6" spans="1:6" s="1" customFormat="1" x14ac:dyDescent="0.2">
      <c r="A6" s="268" t="s">
        <v>415</v>
      </c>
      <c r="B6" s="78">
        <v>4176.7700000000004</v>
      </c>
      <c r="C6" s="78">
        <v>0</v>
      </c>
      <c r="D6" s="78">
        <v>0</v>
      </c>
      <c r="E6" s="326">
        <v>0</v>
      </c>
      <c r="F6" s="248">
        <f t="shared" si="0"/>
        <v>4176.7700000000004</v>
      </c>
    </row>
    <row r="7" spans="1:6" s="1" customFormat="1" x14ac:dyDescent="0.2">
      <c r="A7" s="268" t="s">
        <v>416</v>
      </c>
      <c r="B7" s="78">
        <v>2000</v>
      </c>
      <c r="C7" s="78">
        <v>2000</v>
      </c>
      <c r="D7" s="78">
        <v>2000</v>
      </c>
      <c r="E7" s="326">
        <v>0</v>
      </c>
      <c r="F7" s="248">
        <f t="shared" si="0"/>
        <v>6000</v>
      </c>
    </row>
    <row r="8" spans="1:6" s="1" customFormat="1" x14ac:dyDescent="0.2">
      <c r="A8" s="268" t="s">
        <v>417</v>
      </c>
      <c r="B8" s="78">
        <v>6260</v>
      </c>
      <c r="C8" s="78">
        <v>0.5</v>
      </c>
      <c r="D8" s="78">
        <v>0</v>
      </c>
      <c r="E8" s="326">
        <v>0</v>
      </c>
      <c r="F8" s="248">
        <f t="shared" si="0"/>
        <v>6260.5</v>
      </c>
    </row>
    <row r="9" spans="1:6" s="1" customFormat="1" x14ac:dyDescent="0.2">
      <c r="A9" s="268" t="s">
        <v>418</v>
      </c>
      <c r="B9" s="78">
        <v>7325</v>
      </c>
      <c r="C9" s="78">
        <v>0</v>
      </c>
      <c r="D9" s="78">
        <v>0</v>
      </c>
      <c r="E9" s="326">
        <v>0</v>
      </c>
      <c r="F9" s="248">
        <f t="shared" si="0"/>
        <v>7325</v>
      </c>
    </row>
    <row r="10" spans="1:6" s="1" customFormat="1" x14ac:dyDescent="0.2">
      <c r="A10" s="268" t="s">
        <v>419</v>
      </c>
      <c r="B10" s="78">
        <v>4915.42</v>
      </c>
      <c r="C10" s="78">
        <v>0</v>
      </c>
      <c r="D10" s="78">
        <v>5225.21</v>
      </c>
      <c r="E10" s="326">
        <v>0</v>
      </c>
      <c r="F10" s="248">
        <f t="shared" si="0"/>
        <v>10140.630000000001</v>
      </c>
    </row>
    <row r="11" spans="1:6" s="1" customFormat="1" x14ac:dyDescent="0.2">
      <c r="A11" s="268" t="s">
        <v>420</v>
      </c>
      <c r="B11" s="78">
        <v>13094.5</v>
      </c>
      <c r="C11" s="78">
        <v>0</v>
      </c>
      <c r="D11" s="78">
        <v>0</v>
      </c>
      <c r="E11" s="326">
        <v>0</v>
      </c>
      <c r="F11" s="248">
        <f t="shared" si="0"/>
        <v>13094.5</v>
      </c>
    </row>
    <row r="12" spans="1:6" s="1" customFormat="1" x14ac:dyDescent="0.2">
      <c r="A12" s="268" t="s">
        <v>421</v>
      </c>
      <c r="B12" s="78">
        <v>1759.72</v>
      </c>
      <c r="C12" s="78">
        <v>2000</v>
      </c>
      <c r="D12" s="78">
        <v>9350.09</v>
      </c>
      <c r="E12" s="326">
        <v>0</v>
      </c>
      <c r="F12" s="248">
        <f t="shared" si="0"/>
        <v>13109.810000000001</v>
      </c>
    </row>
    <row r="13" spans="1:6" s="1" customFormat="1" x14ac:dyDescent="0.2">
      <c r="A13" s="268" t="s">
        <v>422</v>
      </c>
      <c r="B13" s="78">
        <v>13712.48</v>
      </c>
      <c r="C13" s="78">
        <v>0</v>
      </c>
      <c r="D13" s="78">
        <v>0</v>
      </c>
      <c r="E13" s="326">
        <v>0</v>
      </c>
      <c r="F13" s="248">
        <f t="shared" si="0"/>
        <v>13712.48</v>
      </c>
    </row>
    <row r="14" spans="1:6" s="1" customFormat="1" x14ac:dyDescent="0.2">
      <c r="A14" s="268" t="s">
        <v>423</v>
      </c>
      <c r="B14" s="78">
        <f>4485+1208.84</f>
        <v>5693.84</v>
      </c>
      <c r="C14" s="78">
        <v>3986</v>
      </c>
      <c r="D14" s="78">
        <v>5473</v>
      </c>
      <c r="E14" s="326">
        <v>0</v>
      </c>
      <c r="F14" s="248">
        <f t="shared" si="0"/>
        <v>15152.84</v>
      </c>
    </row>
    <row r="15" spans="1:6" s="1" customFormat="1" x14ac:dyDescent="0.2">
      <c r="A15" s="268" t="s">
        <v>424</v>
      </c>
      <c r="B15" s="78">
        <v>4840</v>
      </c>
      <c r="C15" s="78">
        <v>4979</v>
      </c>
      <c r="D15" s="78">
        <v>5972</v>
      </c>
      <c r="E15" s="326">
        <v>0</v>
      </c>
      <c r="F15" s="248">
        <f t="shared" si="0"/>
        <v>15791</v>
      </c>
    </row>
    <row r="16" spans="1:6" s="1" customFormat="1" x14ac:dyDescent="0.2">
      <c r="A16" s="268" t="s">
        <v>425</v>
      </c>
      <c r="B16" s="78">
        <f>6260+1049.95</f>
        <v>7309.95</v>
      </c>
      <c r="C16" s="78">
        <v>7629</v>
      </c>
      <c r="D16" s="78">
        <v>6634</v>
      </c>
      <c r="E16" s="326">
        <v>0</v>
      </c>
      <c r="F16" s="248">
        <f t="shared" si="0"/>
        <v>21572.95</v>
      </c>
    </row>
    <row r="17" spans="1:6" s="1" customFormat="1" x14ac:dyDescent="0.2">
      <c r="A17" s="268" t="s">
        <v>426</v>
      </c>
      <c r="B17" s="78">
        <v>5543.69</v>
      </c>
      <c r="C17" s="78">
        <v>3625.1</v>
      </c>
      <c r="D17" s="78">
        <v>6965</v>
      </c>
      <c r="E17" s="326">
        <v>9158.48</v>
      </c>
      <c r="F17" s="248">
        <f t="shared" si="0"/>
        <v>25292.269999999997</v>
      </c>
    </row>
    <row r="18" spans="1:6" s="1" customFormat="1" x14ac:dyDescent="0.2">
      <c r="A18" s="268" t="s">
        <v>427</v>
      </c>
      <c r="B18" s="78">
        <f>2000+4608.3</f>
        <v>6608.3</v>
      </c>
      <c r="C18" s="78">
        <v>5327.48</v>
      </c>
      <c r="D18" s="78">
        <v>4147.7700000000004</v>
      </c>
      <c r="E18" s="326">
        <v>41888.519999999997</v>
      </c>
      <c r="F18" s="248">
        <f t="shared" si="0"/>
        <v>57972.069999999992</v>
      </c>
    </row>
    <row r="19" spans="1:6" s="1" customFormat="1" x14ac:dyDescent="0.2">
      <c r="A19" s="268" t="s">
        <v>428</v>
      </c>
      <c r="B19" s="78">
        <f>147263.25+3050.16</f>
        <v>150313.41</v>
      </c>
      <c r="C19" s="78">
        <v>0</v>
      </c>
      <c r="D19" s="78">
        <v>0</v>
      </c>
      <c r="E19" s="326">
        <v>0</v>
      </c>
      <c r="F19" s="248">
        <f t="shared" si="0"/>
        <v>150313.41</v>
      </c>
    </row>
    <row r="20" spans="1:6" s="1" customFormat="1" x14ac:dyDescent="0.2">
      <c r="A20" s="268" t="s">
        <v>429</v>
      </c>
      <c r="B20" s="78">
        <v>0</v>
      </c>
      <c r="C20" s="78">
        <v>175809.28</v>
      </c>
      <c r="D20" s="78">
        <v>5191.8</v>
      </c>
      <c r="E20" s="326">
        <v>0</v>
      </c>
      <c r="F20" s="248">
        <f t="shared" si="0"/>
        <v>181001.08</v>
      </c>
    </row>
    <row r="21" spans="1:6" s="1" customFormat="1" x14ac:dyDescent="0.2">
      <c r="A21" s="268" t="s">
        <v>430</v>
      </c>
      <c r="B21" s="78">
        <v>6900.27</v>
      </c>
      <c r="C21" s="78">
        <v>181206.47</v>
      </c>
      <c r="D21" s="78">
        <v>53892.14</v>
      </c>
      <c r="E21" s="326">
        <v>0</v>
      </c>
      <c r="F21" s="248">
        <f t="shared" si="0"/>
        <v>241998.88</v>
      </c>
    </row>
    <row r="22" spans="1:6" s="1" customFormat="1" x14ac:dyDescent="0.2">
      <c r="A22" s="268" t="s">
        <v>431</v>
      </c>
      <c r="B22" s="78">
        <v>10184.25</v>
      </c>
      <c r="C22" s="78">
        <v>161245.35</v>
      </c>
      <c r="D22" s="78">
        <v>98827.54</v>
      </c>
      <c r="E22" s="326">
        <v>0</v>
      </c>
      <c r="F22" s="248">
        <f t="shared" si="0"/>
        <v>270257.14</v>
      </c>
    </row>
    <row r="23" spans="1:6" s="1" customFormat="1" x14ac:dyDescent="0.2">
      <c r="A23" s="268" t="s">
        <v>432</v>
      </c>
      <c r="B23" s="78">
        <f>109648.21+19090.4</f>
        <v>128738.61000000002</v>
      </c>
      <c r="C23" s="78">
        <v>118492.84</v>
      </c>
      <c r="D23" s="78">
        <v>119770.64</v>
      </c>
      <c r="E23" s="326">
        <v>38328.33</v>
      </c>
      <c r="F23" s="248">
        <f t="shared" si="0"/>
        <v>405330.42000000004</v>
      </c>
    </row>
    <row r="24" spans="1:6" s="1" customFormat="1" x14ac:dyDescent="0.2">
      <c r="A24" s="268" t="s">
        <v>433</v>
      </c>
      <c r="B24" s="78">
        <f>152474.01+23159.34</f>
        <v>175633.35</v>
      </c>
      <c r="C24" s="78">
        <v>163151.37</v>
      </c>
      <c r="D24" s="78">
        <v>152474.01</v>
      </c>
      <c r="E24" s="326">
        <v>0</v>
      </c>
      <c r="F24" s="248">
        <f t="shared" si="0"/>
        <v>491258.73</v>
      </c>
    </row>
    <row r="25" spans="1:6" s="1" customFormat="1" x14ac:dyDescent="0.2">
      <c r="A25" s="268" t="s">
        <v>434</v>
      </c>
      <c r="B25" s="78">
        <f>226867.83+37789.8</f>
        <v>264657.63</v>
      </c>
      <c r="C25" s="78">
        <v>245989.89</v>
      </c>
      <c r="D25" s="78">
        <v>239427.57</v>
      </c>
      <c r="E25" s="326">
        <v>45766.37</v>
      </c>
      <c r="F25" s="248">
        <f t="shared" si="0"/>
        <v>795841.46000000008</v>
      </c>
    </row>
    <row r="26" spans="1:6" s="1" customFormat="1" x14ac:dyDescent="0.2">
      <c r="A26" s="268" t="s">
        <v>435</v>
      </c>
      <c r="B26" s="78">
        <v>79511.740000000005</v>
      </c>
      <c r="C26" s="78">
        <v>28818.06</v>
      </c>
      <c r="D26" s="78">
        <v>221944.15</v>
      </c>
      <c r="E26" s="326">
        <v>478541.9</v>
      </c>
      <c r="F26" s="248">
        <f t="shared" si="0"/>
        <v>808815.85000000009</v>
      </c>
    </row>
    <row r="27" spans="1:6" s="1" customFormat="1" x14ac:dyDescent="0.2">
      <c r="A27" s="268" t="s">
        <v>436</v>
      </c>
      <c r="B27" s="78">
        <f>74580.22+70102.21</f>
        <v>144682.43</v>
      </c>
      <c r="C27" s="78">
        <v>241163.77</v>
      </c>
      <c r="D27" s="78">
        <v>214630.06</v>
      </c>
      <c r="E27" s="326">
        <v>377206.6</v>
      </c>
      <c r="F27" s="248">
        <f t="shared" si="0"/>
        <v>977682.86</v>
      </c>
    </row>
    <row r="28" spans="1:6" s="1" customFormat="1" x14ac:dyDescent="0.2">
      <c r="A28" s="268" t="s">
        <v>437</v>
      </c>
      <c r="B28" s="78">
        <v>142320.26</v>
      </c>
      <c r="C28" s="78">
        <v>259896.64</v>
      </c>
      <c r="D28" s="78">
        <v>205585.66</v>
      </c>
      <c r="E28" s="326">
        <v>1384303.65</v>
      </c>
      <c r="F28" s="248">
        <f t="shared" si="0"/>
        <v>1992106.21</v>
      </c>
    </row>
    <row r="29" spans="1:6" s="1" customFormat="1" ht="13.5" thickBot="1" x14ac:dyDescent="0.25">
      <c r="A29" s="324" t="s">
        <v>438</v>
      </c>
      <c r="B29" s="275">
        <f>189028.3+240326.32</f>
        <v>429354.62</v>
      </c>
      <c r="C29" s="275">
        <v>341285.74</v>
      </c>
      <c r="D29" s="275">
        <v>656112.52</v>
      </c>
      <c r="E29" s="326">
        <v>2607957.2999999998</v>
      </c>
      <c r="F29" s="248">
        <f t="shared" si="0"/>
        <v>4034710.1799999997</v>
      </c>
    </row>
    <row r="30" spans="1:6" s="1" customFormat="1" ht="13.5" thickBot="1" x14ac:dyDescent="0.25">
      <c r="A30" s="281" t="s">
        <v>170</v>
      </c>
      <c r="B30" s="262">
        <f>SUM(B4:B29)</f>
        <v>1617536.2400000002</v>
      </c>
      <c r="C30" s="262">
        <f>SUM(C4:C29)</f>
        <v>1949254.49</v>
      </c>
      <c r="D30" s="262">
        <f>SUM(D4:D29)</f>
        <v>2013623.16</v>
      </c>
      <c r="E30" s="262">
        <f>SUM(E4:E29)</f>
        <v>4983151.1500000004</v>
      </c>
      <c r="F30" s="80">
        <f>SUM(F4:F29)</f>
        <v>10563565.039999999</v>
      </c>
    </row>
    <row r="31" spans="1:6" s="1" customFormat="1" ht="13.5" thickBot="1" x14ac:dyDescent="0.25">
      <c r="A31" s="282" t="s">
        <v>172</v>
      </c>
      <c r="B31" s="78"/>
      <c r="C31" s="78"/>
      <c r="D31" s="78"/>
      <c r="E31" s="78"/>
      <c r="F31" s="248"/>
    </row>
    <row r="32" spans="1:6" s="1" customFormat="1" x14ac:dyDescent="0.2">
      <c r="A32" s="268" t="s">
        <v>474</v>
      </c>
      <c r="B32" s="78">
        <v>0.1</v>
      </c>
      <c r="C32" s="78">
        <v>0</v>
      </c>
      <c r="D32" s="78">
        <v>0</v>
      </c>
      <c r="E32" s="78">
        <v>0</v>
      </c>
      <c r="F32" s="248">
        <f>ROUND(SUM(B32:E32),5)</f>
        <v>0.1</v>
      </c>
    </row>
    <row r="33" spans="1:6" s="1" customFormat="1" x14ac:dyDescent="0.2">
      <c r="A33" s="268" t="s">
        <v>473</v>
      </c>
      <c r="B33" s="78">
        <v>2000</v>
      </c>
      <c r="C33" s="78">
        <v>0</v>
      </c>
      <c r="D33" s="78">
        <v>0</v>
      </c>
      <c r="E33" s="78">
        <v>0</v>
      </c>
      <c r="F33" s="248">
        <f>ROUND(SUM(B33:E33),5)</f>
        <v>2000</v>
      </c>
    </row>
    <row r="34" spans="1:6" s="1" customFormat="1" x14ac:dyDescent="0.2">
      <c r="A34" s="268" t="s">
        <v>472</v>
      </c>
      <c r="B34" s="78">
        <v>3262.65</v>
      </c>
      <c r="C34" s="78">
        <v>0</v>
      </c>
      <c r="D34" s="78">
        <v>0</v>
      </c>
      <c r="E34" s="78">
        <v>0</v>
      </c>
      <c r="F34" s="248">
        <f>ROUND(SUM(B34:E34),5)</f>
        <v>3262.65</v>
      </c>
    </row>
    <row r="35" spans="1:6" s="1" customFormat="1" x14ac:dyDescent="0.2">
      <c r="A35" s="268" t="s">
        <v>471</v>
      </c>
      <c r="B35" s="78">
        <v>2355</v>
      </c>
      <c r="C35" s="78">
        <v>0</v>
      </c>
      <c r="D35" s="78">
        <v>5787</v>
      </c>
      <c r="E35" s="78">
        <v>0</v>
      </c>
      <c r="F35" s="248">
        <f>ROUND(SUM(B35:E35),5)</f>
        <v>8142</v>
      </c>
    </row>
    <row r="36" spans="1:6" s="1" customFormat="1" x14ac:dyDescent="0.2">
      <c r="A36" s="268" t="s">
        <v>470</v>
      </c>
      <c r="B36" s="78">
        <v>3065</v>
      </c>
      <c r="C36" s="78">
        <v>2662</v>
      </c>
      <c r="D36" s="78">
        <v>2993</v>
      </c>
      <c r="E36" s="78">
        <v>0</v>
      </c>
      <c r="F36" s="248">
        <f>ROUND(SUM(B36:E36),5)</f>
        <v>8720</v>
      </c>
    </row>
    <row r="37" spans="1:6" s="1" customFormat="1" x14ac:dyDescent="0.2">
      <c r="A37" s="268" t="s">
        <v>469</v>
      </c>
      <c r="B37" s="78">
        <v>3420</v>
      </c>
      <c r="C37" s="78">
        <v>4317</v>
      </c>
      <c r="D37" s="78">
        <v>1986</v>
      </c>
      <c r="E37" s="78">
        <v>0</v>
      </c>
      <c r="F37" s="248">
        <f>ROUND(SUM(B37:E37),5)</f>
        <v>9723</v>
      </c>
    </row>
    <row r="38" spans="1:6" s="1" customFormat="1" x14ac:dyDescent="0.2">
      <c r="A38" s="268" t="s">
        <v>468</v>
      </c>
      <c r="B38" s="78">
        <v>9784</v>
      </c>
      <c r="C38" s="78">
        <v>0</v>
      </c>
      <c r="D38" s="78">
        <v>0</v>
      </c>
      <c r="E38" s="78">
        <v>0</v>
      </c>
      <c r="F38" s="248">
        <f>ROUND(SUM(B38:E38),5)</f>
        <v>9784</v>
      </c>
    </row>
    <row r="39" spans="1:6" s="1" customFormat="1" x14ac:dyDescent="0.2">
      <c r="A39" s="268" t="s">
        <v>467</v>
      </c>
      <c r="B39" s="78">
        <v>4130</v>
      </c>
      <c r="C39" s="78">
        <v>3986</v>
      </c>
      <c r="D39" s="78">
        <v>3985.26</v>
      </c>
      <c r="E39" s="78">
        <v>0</v>
      </c>
      <c r="F39" s="248">
        <f>ROUND(SUM(B39:E39),5)</f>
        <v>12101.26</v>
      </c>
    </row>
    <row r="40" spans="1:6" s="1" customFormat="1" x14ac:dyDescent="0.2">
      <c r="A40" s="268" t="s">
        <v>466</v>
      </c>
      <c r="B40" s="78">
        <v>6672</v>
      </c>
      <c r="C40" s="78">
        <v>2993</v>
      </c>
      <c r="D40" s="78">
        <v>2662</v>
      </c>
      <c r="E40" s="78">
        <v>0</v>
      </c>
      <c r="F40" s="248">
        <f>ROUND(SUM(B40:E40),5)</f>
        <v>12327</v>
      </c>
    </row>
    <row r="41" spans="1:6" s="1" customFormat="1" x14ac:dyDescent="0.2">
      <c r="A41" s="268" t="s">
        <v>465</v>
      </c>
      <c r="B41" s="78">
        <v>4485</v>
      </c>
      <c r="C41" s="78">
        <v>6303</v>
      </c>
      <c r="D41" s="78">
        <v>2331</v>
      </c>
      <c r="E41" s="78">
        <v>0</v>
      </c>
      <c r="F41" s="248">
        <f>ROUND(SUM(B41:E41),5)</f>
        <v>13119</v>
      </c>
    </row>
    <row r="42" spans="1:6" s="1" customFormat="1" x14ac:dyDescent="0.2">
      <c r="A42" s="268" t="s">
        <v>464</v>
      </c>
      <c r="B42" s="78">
        <v>6020.94</v>
      </c>
      <c r="C42" s="78">
        <v>3986</v>
      </c>
      <c r="D42" s="78">
        <v>4648</v>
      </c>
      <c r="E42" s="78">
        <v>0</v>
      </c>
      <c r="F42" s="248">
        <f>ROUND(SUM(B42:E42),5)</f>
        <v>14654.94</v>
      </c>
    </row>
    <row r="43" spans="1:6" s="1" customFormat="1" x14ac:dyDescent="0.2">
      <c r="A43" s="268" t="s">
        <v>463</v>
      </c>
      <c r="B43" s="78">
        <v>3878.82</v>
      </c>
      <c r="C43" s="78">
        <v>3308.22</v>
      </c>
      <c r="D43" s="78">
        <v>3212.46</v>
      </c>
      <c r="E43" s="78">
        <v>4345</v>
      </c>
      <c r="F43" s="248">
        <f>ROUND(SUM(B43:E43),5)</f>
        <v>14744.5</v>
      </c>
    </row>
    <row r="44" spans="1:6" s="1" customFormat="1" x14ac:dyDescent="0.2">
      <c r="A44" s="268" t="s">
        <v>462</v>
      </c>
      <c r="B44" s="78">
        <v>20720.27</v>
      </c>
      <c r="C44" s="78">
        <v>0</v>
      </c>
      <c r="D44" s="78">
        <v>0</v>
      </c>
      <c r="E44" s="78">
        <v>0</v>
      </c>
      <c r="F44" s="248">
        <f>ROUND(SUM(B44:E44),5)</f>
        <v>20720.27</v>
      </c>
    </row>
    <row r="45" spans="1:6" s="1" customFormat="1" x14ac:dyDescent="0.2">
      <c r="A45" s="268" t="s">
        <v>461</v>
      </c>
      <c r="B45" s="78">
        <v>3440.32</v>
      </c>
      <c r="C45" s="78">
        <v>0</v>
      </c>
      <c r="D45" s="78">
        <v>0</v>
      </c>
      <c r="E45" s="78">
        <v>18039</v>
      </c>
      <c r="F45" s="248">
        <f>ROUND(SUM(B45:E45),5)</f>
        <v>21479.32</v>
      </c>
    </row>
    <row r="46" spans="1:6" s="1" customFormat="1" x14ac:dyDescent="0.2">
      <c r="A46" s="268" t="s">
        <v>460</v>
      </c>
      <c r="B46" s="78">
        <v>8629.81</v>
      </c>
      <c r="C46" s="78">
        <v>5310</v>
      </c>
      <c r="D46" s="78">
        <v>7629</v>
      </c>
      <c r="E46" s="78">
        <v>0</v>
      </c>
      <c r="F46" s="248">
        <f>ROUND(SUM(B46:E46),5)</f>
        <v>21568.81</v>
      </c>
    </row>
    <row r="47" spans="1:6" s="1" customFormat="1" x14ac:dyDescent="0.2">
      <c r="A47" s="268" t="s">
        <v>459</v>
      </c>
      <c r="B47" s="78">
        <v>5195.16</v>
      </c>
      <c r="C47" s="78">
        <v>4163.1099999999997</v>
      </c>
      <c r="D47" s="78">
        <v>6155</v>
      </c>
      <c r="E47" s="78">
        <v>8324</v>
      </c>
      <c r="F47" s="248">
        <f>ROUND(SUM(B47:E47),5)</f>
        <v>23837.27</v>
      </c>
    </row>
    <row r="48" spans="1:6" s="1" customFormat="1" x14ac:dyDescent="0.2">
      <c r="A48" s="268" t="s">
        <v>458</v>
      </c>
      <c r="B48" s="78">
        <v>36734.79</v>
      </c>
      <c r="C48" s="78">
        <v>0</v>
      </c>
      <c r="D48" s="78">
        <v>373.86</v>
      </c>
      <c r="E48" s="78">
        <v>0</v>
      </c>
      <c r="F48" s="248">
        <f>ROUND(SUM(B48:E48),5)</f>
        <v>37108.65</v>
      </c>
    </row>
    <row r="49" spans="1:8" s="1" customFormat="1" x14ac:dyDescent="0.2">
      <c r="A49" s="268" t="s">
        <v>457</v>
      </c>
      <c r="B49" s="78">
        <v>108504.98</v>
      </c>
      <c r="C49" s="78">
        <v>2332.14</v>
      </c>
      <c r="D49" s="78">
        <v>2125.67</v>
      </c>
      <c r="E49" s="78">
        <v>0</v>
      </c>
      <c r="F49" s="248">
        <f>ROUND(SUM(B49:E49),5)</f>
        <v>112962.79</v>
      </c>
    </row>
    <row r="50" spans="1:8" s="1" customFormat="1" x14ac:dyDescent="0.2">
      <c r="A50" s="268" t="s">
        <v>456</v>
      </c>
      <c r="B50" s="78">
        <v>115578.26</v>
      </c>
      <c r="C50" s="78">
        <v>0</v>
      </c>
      <c r="D50" s="78">
        <v>0</v>
      </c>
      <c r="E50" s="78">
        <v>0</v>
      </c>
      <c r="F50" s="248">
        <f>ROUND(SUM(B50:E50),5)</f>
        <v>115578.26</v>
      </c>
    </row>
    <row r="51" spans="1:8" s="1" customFormat="1" x14ac:dyDescent="0.2">
      <c r="A51" s="268" t="s">
        <v>455</v>
      </c>
      <c r="B51" s="78">
        <v>150479.42000000001</v>
      </c>
      <c r="C51" s="78">
        <v>6824.85</v>
      </c>
      <c r="D51" s="78">
        <v>5833.22</v>
      </c>
      <c r="E51" s="78">
        <v>0</v>
      </c>
      <c r="F51" s="248">
        <f>ROUND(SUM(B51:E51),5)</f>
        <v>163137.49</v>
      </c>
    </row>
    <row r="52" spans="1:8" s="1" customFormat="1" x14ac:dyDescent="0.2">
      <c r="A52" s="268" t="s">
        <v>454</v>
      </c>
      <c r="B52" s="78">
        <v>184102.91</v>
      </c>
      <c r="C52" s="78">
        <v>3391.76</v>
      </c>
      <c r="D52" s="78">
        <v>0</v>
      </c>
      <c r="E52" s="78">
        <v>0</v>
      </c>
      <c r="F52" s="248">
        <f>ROUND(SUM(B52:E52),5)</f>
        <v>187494.67</v>
      </c>
    </row>
    <row r="53" spans="1:8" s="1" customFormat="1" x14ac:dyDescent="0.2">
      <c r="A53" s="268" t="s">
        <v>453</v>
      </c>
      <c r="B53" s="78">
        <v>236171.57</v>
      </c>
      <c r="C53" s="78">
        <v>108391.29</v>
      </c>
      <c r="D53" s="78">
        <v>1638.54</v>
      </c>
      <c r="E53" s="78">
        <v>0</v>
      </c>
      <c r="F53" s="248">
        <f>ROUND(SUM(B53:E53),5)</f>
        <v>346201.4</v>
      </c>
    </row>
    <row r="54" spans="1:8" s="1" customFormat="1" x14ac:dyDescent="0.2">
      <c r="A54" s="268" t="s">
        <v>452</v>
      </c>
      <c r="B54" s="78">
        <v>164719.97</v>
      </c>
      <c r="C54" s="78">
        <v>177061.89</v>
      </c>
      <c r="D54" s="78">
        <v>53961.919999999998</v>
      </c>
      <c r="E54" s="78">
        <v>0</v>
      </c>
      <c r="F54" s="248">
        <f>ROUND(SUM(B54:E54),5)</f>
        <v>395743.78</v>
      </c>
    </row>
    <row r="55" spans="1:8" s="1" customFormat="1" ht="13.5" thickBot="1" x14ac:dyDescent="0.25">
      <c r="A55" s="324" t="s">
        <v>451</v>
      </c>
      <c r="B55" s="275">
        <v>183369.66</v>
      </c>
      <c r="C55" s="275">
        <v>166669.51</v>
      </c>
      <c r="D55" s="275">
        <v>159560.31</v>
      </c>
      <c r="E55" s="275">
        <v>148209.29999999999</v>
      </c>
      <c r="F55" s="280">
        <f>ROUND(SUM(B55:E55),5)</f>
        <v>657808.78</v>
      </c>
    </row>
    <row r="56" spans="1:8" s="1" customFormat="1" ht="13.5" thickBot="1" x14ac:dyDescent="0.25">
      <c r="A56" s="281" t="s">
        <v>171</v>
      </c>
      <c r="B56" s="262">
        <f>SUM(B32:B55)</f>
        <v>1266720.6299999999</v>
      </c>
      <c r="C56" s="262">
        <f>SUM(C32:C55)</f>
        <v>501699.77</v>
      </c>
      <c r="D56" s="262">
        <f>SUM(D32:D55)</f>
        <v>264882.24</v>
      </c>
      <c r="E56" s="262">
        <f>SUM(E32:E55)</f>
        <v>178917.3</v>
      </c>
      <c r="F56" s="80">
        <f t="shared" ref="F56" si="1">ROUND(SUM(B56:E56),5)</f>
        <v>2212219.94</v>
      </c>
    </row>
    <row r="57" spans="1:8" s="1" customFormat="1" x14ac:dyDescent="0.2">
      <c r="A57" s="268"/>
      <c r="B57" s="78"/>
      <c r="C57" s="78"/>
      <c r="D57" s="78"/>
      <c r="E57" s="78"/>
      <c r="F57" s="248"/>
    </row>
    <row r="58" spans="1:8" s="1" customFormat="1" hidden="1" x14ac:dyDescent="0.2">
      <c r="A58" s="268"/>
      <c r="B58" s="78"/>
      <c r="C58" s="78"/>
      <c r="D58" s="78"/>
      <c r="E58" s="78"/>
      <c r="F58" s="248"/>
    </row>
    <row r="59" spans="1:8" s="1" customFormat="1" ht="13.5" hidden="1" thickBot="1" x14ac:dyDescent="0.25">
      <c r="A59" s="268"/>
      <c r="B59" s="78"/>
      <c r="C59" s="78"/>
      <c r="D59" s="78"/>
      <c r="E59" s="78"/>
      <c r="F59" s="248"/>
    </row>
    <row r="60" spans="1:8" s="1" customFormat="1" ht="13.5" hidden="1" thickBot="1" x14ac:dyDescent="0.25">
      <c r="A60" s="282" t="s">
        <v>174</v>
      </c>
      <c r="B60" s="78"/>
      <c r="C60" s="78"/>
      <c r="D60" s="78"/>
      <c r="E60" s="78"/>
      <c r="F60" s="248"/>
    </row>
    <row r="61" spans="1:8" s="1" customFormat="1" ht="13.5" hidden="1" thickBot="1" x14ac:dyDescent="0.25">
      <c r="A61" s="268" t="s">
        <v>173</v>
      </c>
      <c r="B61" s="78">
        <v>0</v>
      </c>
      <c r="C61" s="78">
        <v>0</v>
      </c>
      <c r="D61" s="78">
        <v>0</v>
      </c>
      <c r="E61" s="78">
        <v>0</v>
      </c>
      <c r="F61" s="248">
        <f>ROUND(SUM(B61:E61),5)</f>
        <v>0</v>
      </c>
    </row>
    <row r="62" spans="1:8" s="1" customFormat="1" ht="13.5" hidden="1" thickBot="1" x14ac:dyDescent="0.25">
      <c r="A62" s="281"/>
      <c r="B62" s="262">
        <f>+B61</f>
        <v>0</v>
      </c>
      <c r="C62" s="262">
        <f t="shared" ref="C62:E62" si="2">+C61</f>
        <v>0</v>
      </c>
      <c r="D62" s="262">
        <f t="shared" si="2"/>
        <v>0</v>
      </c>
      <c r="E62" s="262">
        <f t="shared" si="2"/>
        <v>0</v>
      </c>
      <c r="F62" s="80">
        <f t="shared" ref="F62" si="3">ROUND(SUM(B62:E62),5)</f>
        <v>0</v>
      </c>
    </row>
    <row r="63" spans="1:8" s="1" customFormat="1" ht="13.5" thickBot="1" x14ac:dyDescent="0.25">
      <c r="A63" s="268"/>
      <c r="B63" s="78"/>
      <c r="C63" s="78"/>
      <c r="D63" s="78"/>
      <c r="E63" s="78"/>
      <c r="F63" s="248" t="s">
        <v>3</v>
      </c>
    </row>
    <row r="64" spans="1:8" ht="16.5" customHeight="1" thickBot="1" x14ac:dyDescent="0.25">
      <c r="A64" s="283" t="s">
        <v>1</v>
      </c>
      <c r="B64" s="284">
        <f>+B56+B30</f>
        <v>2884256.87</v>
      </c>
      <c r="C64" s="284">
        <f t="shared" ref="C64:E64" si="4">+C56+C30</f>
        <v>2450954.2599999998</v>
      </c>
      <c r="D64" s="284">
        <f t="shared" si="4"/>
        <v>2278505.4</v>
      </c>
      <c r="E64" s="284">
        <f t="shared" si="4"/>
        <v>5162068.45</v>
      </c>
      <c r="F64" s="285">
        <f>SUM(B64:E64)</f>
        <v>12775784.98</v>
      </c>
      <c r="H64" s="79"/>
    </row>
    <row r="65" spans="1:7" ht="13.5" thickBot="1" x14ac:dyDescent="0.25">
      <c r="A65" s="312" t="s">
        <v>25</v>
      </c>
      <c r="B65" s="313"/>
      <c r="C65" s="313"/>
      <c r="D65" s="313"/>
      <c r="E65" s="313"/>
      <c r="F65" s="314"/>
    </row>
    <row r="66" spans="1:7" ht="13.5" thickBot="1" x14ac:dyDescent="0.25">
      <c r="A66" s="274"/>
      <c r="B66" s="272"/>
      <c r="C66" s="272"/>
      <c r="D66" s="272"/>
      <c r="E66" s="272"/>
      <c r="F66" s="273"/>
    </row>
    <row r="67" spans="1:7" ht="13.5" thickBot="1" x14ac:dyDescent="0.25">
      <c r="A67" s="95" t="s">
        <v>158</v>
      </c>
      <c r="B67" s="96"/>
      <c r="C67" s="96"/>
      <c r="D67" s="96"/>
      <c r="E67" s="96"/>
      <c r="F67" s="97"/>
    </row>
    <row r="68" spans="1:7" x14ac:dyDescent="0.2">
      <c r="A68" s="268" t="s">
        <v>405</v>
      </c>
      <c r="B68" s="78">
        <v>-237634.77</v>
      </c>
      <c r="C68" s="78">
        <v>0</v>
      </c>
      <c r="D68" s="78">
        <v>0</v>
      </c>
      <c r="E68" s="78">
        <v>0</v>
      </c>
      <c r="F68" s="325">
        <f>SUM(B68:E68)</f>
        <v>-237634.77</v>
      </c>
    </row>
    <row r="69" spans="1:7" x14ac:dyDescent="0.2">
      <c r="A69" s="268" t="s">
        <v>406</v>
      </c>
      <c r="B69" s="78">
        <v>-158979.6</v>
      </c>
      <c r="C69" s="78">
        <v>0</v>
      </c>
      <c r="D69" s="78">
        <v>0</v>
      </c>
      <c r="E69" s="78">
        <v>0</v>
      </c>
      <c r="F69" s="325">
        <f t="shared" ref="F69:F75" si="5">SUM(B69:E69)</f>
        <v>-158979.6</v>
      </c>
    </row>
    <row r="70" spans="1:7" x14ac:dyDescent="0.2">
      <c r="A70" s="268" t="s">
        <v>407</v>
      </c>
      <c r="B70" s="78">
        <v>-155630.07</v>
      </c>
      <c r="C70" s="78">
        <v>0</v>
      </c>
      <c r="D70" s="78">
        <v>0</v>
      </c>
      <c r="E70" s="78">
        <v>0</v>
      </c>
      <c r="F70" s="325">
        <f t="shared" si="5"/>
        <v>-155630.07</v>
      </c>
    </row>
    <row r="71" spans="1:7" x14ac:dyDescent="0.2">
      <c r="A71" s="268" t="s">
        <v>408</v>
      </c>
      <c r="B71" s="78">
        <v>-134704.13</v>
      </c>
      <c r="C71" s="78">
        <v>0</v>
      </c>
      <c r="D71" s="78">
        <v>0</v>
      </c>
      <c r="E71" s="78">
        <v>0</v>
      </c>
      <c r="F71" s="325">
        <f t="shared" si="5"/>
        <v>-134704.13</v>
      </c>
    </row>
    <row r="72" spans="1:7" x14ac:dyDescent="0.2">
      <c r="A72" s="268" t="s">
        <v>409</v>
      </c>
      <c r="B72" s="78">
        <v>-132536.92000000001</v>
      </c>
      <c r="C72" s="78">
        <v>0</v>
      </c>
      <c r="D72" s="78">
        <v>0</v>
      </c>
      <c r="E72" s="78">
        <v>0</v>
      </c>
      <c r="F72" s="325">
        <f t="shared" si="5"/>
        <v>-132536.92000000001</v>
      </c>
    </row>
    <row r="73" spans="1:7" x14ac:dyDescent="0.2">
      <c r="A73" s="268" t="s">
        <v>410</v>
      </c>
      <c r="B73" s="78">
        <v>0</v>
      </c>
      <c r="C73" s="78">
        <v>-14379.12</v>
      </c>
      <c r="D73" s="78">
        <v>0</v>
      </c>
      <c r="E73" s="78">
        <v>0</v>
      </c>
      <c r="F73" s="325">
        <f t="shared" si="5"/>
        <v>-14379.12</v>
      </c>
    </row>
    <row r="74" spans="1:7" x14ac:dyDescent="0.2">
      <c r="A74" s="268" t="s">
        <v>411</v>
      </c>
      <c r="B74" s="78">
        <v>-11948</v>
      </c>
      <c r="C74" s="78">
        <v>0</v>
      </c>
      <c r="D74" s="78">
        <v>0</v>
      </c>
      <c r="E74" s="78">
        <v>0</v>
      </c>
      <c r="F74" s="325">
        <f t="shared" si="5"/>
        <v>-11948</v>
      </c>
    </row>
    <row r="75" spans="1:7" ht="13.5" thickBot="1" x14ac:dyDescent="0.25">
      <c r="A75" s="268" t="s">
        <v>412</v>
      </c>
      <c r="B75" s="78">
        <v>-5673</v>
      </c>
      <c r="C75" s="78">
        <v>0</v>
      </c>
      <c r="D75" s="78">
        <v>0</v>
      </c>
      <c r="E75" s="78">
        <v>0</v>
      </c>
      <c r="F75" s="325">
        <f t="shared" si="5"/>
        <v>-5673</v>
      </c>
    </row>
    <row r="76" spans="1:7" ht="13.5" thickBot="1" x14ac:dyDescent="0.25">
      <c r="A76" s="90" t="s">
        <v>1</v>
      </c>
      <c r="B76" s="99">
        <f>SUM(B68:B75)</f>
        <v>-837106.49</v>
      </c>
      <c r="C76" s="99">
        <f>SUM(C68:C75)</f>
        <v>-14379.12</v>
      </c>
      <c r="D76" s="99">
        <f>SUM(D68:D75)</f>
        <v>0</v>
      </c>
      <c r="E76" s="99">
        <f>SUM(E68:E75)</f>
        <v>0</v>
      </c>
      <c r="F76" s="98">
        <f>SUM(F68:F75)</f>
        <v>-851485.61</v>
      </c>
      <c r="G76" s="84"/>
    </row>
    <row r="77" spans="1:7" ht="13.5" thickBot="1" x14ac:dyDescent="0.25">
      <c r="A77" s="95" t="s">
        <v>159</v>
      </c>
      <c r="B77" s="96"/>
      <c r="C77" s="96"/>
      <c r="D77" s="96"/>
      <c r="E77" s="96"/>
      <c r="F77" s="97"/>
      <c r="G77" s="84"/>
    </row>
    <row r="78" spans="1:7" x14ac:dyDescent="0.2">
      <c r="A78" s="268" t="s">
        <v>450</v>
      </c>
      <c r="B78" s="78">
        <v>-110813.51</v>
      </c>
      <c r="C78" s="78">
        <v>0</v>
      </c>
      <c r="D78" s="78">
        <v>0</v>
      </c>
      <c r="E78" s="78">
        <v>-11550</v>
      </c>
      <c r="F78" s="248">
        <f>ROUND(SUM(B78:E78),5)</f>
        <v>-122363.51</v>
      </c>
    </row>
    <row r="79" spans="1:7" x14ac:dyDescent="0.2">
      <c r="A79" s="268" t="s">
        <v>449</v>
      </c>
      <c r="B79" s="78">
        <v>-8837.99</v>
      </c>
      <c r="C79" s="78">
        <v>0</v>
      </c>
      <c r="D79" s="78">
        <v>0</v>
      </c>
      <c r="E79" s="78">
        <v>0</v>
      </c>
      <c r="F79" s="248">
        <f>ROUND(SUM(B79:E79),5)</f>
        <v>-8837.99</v>
      </c>
    </row>
    <row r="80" spans="1:7" x14ac:dyDescent="0.2">
      <c r="A80" s="268" t="s">
        <v>448</v>
      </c>
      <c r="B80" s="78">
        <v>0</v>
      </c>
      <c r="C80" s="78">
        <v>-7863.46</v>
      </c>
      <c r="D80" s="78">
        <v>0</v>
      </c>
      <c r="E80" s="78">
        <v>0</v>
      </c>
      <c r="F80" s="248">
        <f>ROUND(SUM(B80:E80),5)</f>
        <v>-7863.46</v>
      </c>
    </row>
    <row r="81" spans="1:7" x14ac:dyDescent="0.2">
      <c r="A81" s="268" t="s">
        <v>447</v>
      </c>
      <c r="B81" s="78">
        <v>0</v>
      </c>
      <c r="C81" s="78">
        <v>-5952.33</v>
      </c>
      <c r="D81" s="78">
        <v>0</v>
      </c>
      <c r="E81" s="78">
        <v>0</v>
      </c>
      <c r="F81" s="248">
        <f>ROUND(SUM(B81:E81),5)</f>
        <v>-5952.33</v>
      </c>
    </row>
    <row r="82" spans="1:7" x14ac:dyDescent="0.2">
      <c r="A82" s="268" t="s">
        <v>446</v>
      </c>
      <c r="B82" s="78">
        <v>-5789.67</v>
      </c>
      <c r="C82" s="78">
        <v>0</v>
      </c>
      <c r="D82" s="78">
        <v>0</v>
      </c>
      <c r="E82" s="78">
        <v>0</v>
      </c>
      <c r="F82" s="248">
        <f>ROUND(SUM(B82:E82),5)</f>
        <v>-5789.67</v>
      </c>
    </row>
    <row r="83" spans="1:7" x14ac:dyDescent="0.2">
      <c r="A83" s="268" t="s">
        <v>445</v>
      </c>
      <c r="B83" s="78">
        <v>-3895.76</v>
      </c>
      <c r="C83" s="78">
        <v>0</v>
      </c>
      <c r="D83" s="78">
        <v>0</v>
      </c>
      <c r="E83" s="78">
        <v>0</v>
      </c>
      <c r="F83" s="248">
        <f>ROUND(SUM(B83:E83),5)</f>
        <v>-3895.76</v>
      </c>
    </row>
    <row r="84" spans="1:7" x14ac:dyDescent="0.2">
      <c r="A84" s="268" t="s">
        <v>444</v>
      </c>
      <c r="B84" s="78">
        <v>0</v>
      </c>
      <c r="C84" s="78">
        <v>-2295.5</v>
      </c>
      <c r="D84" s="78">
        <v>0</v>
      </c>
      <c r="E84" s="78">
        <v>0</v>
      </c>
      <c r="F84" s="248">
        <f>ROUND(SUM(B84:E84),5)</f>
        <v>-2295.5</v>
      </c>
    </row>
    <row r="85" spans="1:7" x14ac:dyDescent="0.2">
      <c r="A85" s="268" t="s">
        <v>443</v>
      </c>
      <c r="B85" s="78">
        <v>-1361.72</v>
      </c>
      <c r="C85" s="78">
        <v>-527.82000000000005</v>
      </c>
      <c r="D85" s="78">
        <v>0</v>
      </c>
      <c r="E85" s="78">
        <v>0</v>
      </c>
      <c r="F85" s="248">
        <f>ROUND(SUM(B85:E85),5)</f>
        <v>-1889.54</v>
      </c>
    </row>
    <row r="86" spans="1:7" x14ac:dyDescent="0.2">
      <c r="A86" s="268" t="s">
        <v>442</v>
      </c>
      <c r="B86" s="78">
        <v>-1324</v>
      </c>
      <c r="C86" s="78">
        <v>0</v>
      </c>
      <c r="D86" s="78">
        <v>0</v>
      </c>
      <c r="E86" s="78">
        <v>0</v>
      </c>
      <c r="F86" s="248">
        <f>ROUND(SUM(B86:E86),5)</f>
        <v>-1324</v>
      </c>
    </row>
    <row r="87" spans="1:7" x14ac:dyDescent="0.2">
      <c r="A87" s="268" t="s">
        <v>441</v>
      </c>
      <c r="B87" s="78">
        <v>-585.91999999999996</v>
      </c>
      <c r="C87" s="78">
        <v>0</v>
      </c>
      <c r="D87" s="78">
        <v>0</v>
      </c>
      <c r="E87" s="78">
        <v>0</v>
      </c>
      <c r="F87" s="248">
        <f>ROUND(SUM(B87:E87),5)</f>
        <v>-585.91999999999996</v>
      </c>
    </row>
    <row r="88" spans="1:7" x14ac:dyDescent="0.2">
      <c r="A88" s="268" t="s">
        <v>440</v>
      </c>
      <c r="B88" s="78">
        <v>-111.2</v>
      </c>
      <c r="C88" s="78">
        <v>0</v>
      </c>
      <c r="D88" s="78">
        <v>0</v>
      </c>
      <c r="E88" s="78">
        <v>0</v>
      </c>
      <c r="F88" s="248">
        <f>ROUND(SUM(B88:E88),5)</f>
        <v>-111.2</v>
      </c>
    </row>
    <row r="89" spans="1:7" ht="13.5" thickBot="1" x14ac:dyDescent="0.25">
      <c r="A89" s="268" t="s">
        <v>439</v>
      </c>
      <c r="B89" s="78">
        <v>0</v>
      </c>
      <c r="C89" s="78">
        <v>-98.4</v>
      </c>
      <c r="D89" s="78">
        <v>0</v>
      </c>
      <c r="E89" s="78">
        <v>0</v>
      </c>
      <c r="F89" s="248">
        <f>ROUND(SUM(B89:E89),5)</f>
        <v>-98.4</v>
      </c>
    </row>
    <row r="90" spans="1:7" ht="14.25" customHeight="1" thickBot="1" x14ac:dyDescent="0.25">
      <c r="A90" s="90" t="s">
        <v>1</v>
      </c>
      <c r="B90" s="99">
        <f>SUM(B78:B89)</f>
        <v>-132719.77000000002</v>
      </c>
      <c r="C90" s="99">
        <f>SUM(C78:C89)</f>
        <v>-16737.510000000002</v>
      </c>
      <c r="D90" s="99">
        <f>SUM(D78:D89)</f>
        <v>0</v>
      </c>
      <c r="E90" s="99">
        <f>SUM(E78:E89)</f>
        <v>-11550</v>
      </c>
      <c r="F90" s="98">
        <f>SUM(F78:F89)</f>
        <v>-161007.28000000003</v>
      </c>
    </row>
    <row r="91" spans="1:7" ht="14.25" customHeight="1" thickBot="1" x14ac:dyDescent="0.25">
      <c r="A91" s="90"/>
      <c r="B91" s="99"/>
      <c r="C91" s="99"/>
      <c r="D91" s="99"/>
      <c r="E91" s="99"/>
      <c r="F91" s="98"/>
    </row>
    <row r="92" spans="1:7" ht="12" customHeight="1" thickBot="1" x14ac:dyDescent="0.25">
      <c r="A92" s="91"/>
      <c r="B92" s="78"/>
      <c r="C92" s="78"/>
      <c r="D92" s="78"/>
      <c r="E92" s="78"/>
      <c r="F92" s="248"/>
    </row>
    <row r="93" spans="1:7" ht="18.75" customHeight="1" thickBot="1" x14ac:dyDescent="0.25">
      <c r="A93" s="90" t="s">
        <v>37</v>
      </c>
      <c r="B93" s="99">
        <v>-22878</v>
      </c>
      <c r="C93" s="99">
        <v>0</v>
      </c>
      <c r="D93" s="99">
        <v>-3000</v>
      </c>
      <c r="E93" s="99">
        <v>-854621.86</v>
      </c>
      <c r="F93" s="98">
        <f>SUM(B93:E93)</f>
        <v>-880499.86</v>
      </c>
    </row>
    <row r="94" spans="1:7" ht="10.5" customHeight="1" thickBot="1" x14ac:dyDescent="0.25">
      <c r="A94" s="87"/>
      <c r="B94" s="88"/>
      <c r="C94" s="88"/>
      <c r="D94" s="88"/>
      <c r="E94" s="88"/>
      <c r="F94" s="89"/>
    </row>
    <row r="95" spans="1:7" ht="27" customHeight="1" thickBot="1" x14ac:dyDescent="0.25">
      <c r="A95" s="92" t="s">
        <v>8</v>
      </c>
      <c r="B95" s="93">
        <f>+B64+B76+B90+B93</f>
        <v>1891552.61</v>
      </c>
      <c r="C95" s="93">
        <f t="shared" ref="C95:E95" si="6">+C64+C76+C90+C93</f>
        <v>2419837.63</v>
      </c>
      <c r="D95" s="93">
        <f t="shared" si="6"/>
        <v>2275505.4</v>
      </c>
      <c r="E95" s="93">
        <f t="shared" si="6"/>
        <v>4295896.59</v>
      </c>
      <c r="F95" s="134">
        <f>SUM(B95:E95)</f>
        <v>10882792.23</v>
      </c>
    </row>
    <row r="96" spans="1:7" x14ac:dyDescent="0.2">
      <c r="F96" s="131" t="s">
        <v>3</v>
      </c>
      <c r="G96" s="165"/>
    </row>
    <row r="97" spans="6:6" x14ac:dyDescent="0.2">
      <c r="F97" s="70" t="s">
        <v>3</v>
      </c>
    </row>
    <row r="98" spans="6:6" x14ac:dyDescent="0.2">
      <c r="F98" s="39" t="s">
        <v>3</v>
      </c>
    </row>
    <row r="99" spans="6:6" x14ac:dyDescent="0.2">
      <c r="F99" s="327" t="s">
        <v>3</v>
      </c>
    </row>
    <row r="100" spans="6:6" x14ac:dyDescent="0.2">
      <c r="F100" s="79"/>
    </row>
  </sheetData>
  <mergeCells count="4">
    <mergeCell ref="A1:F1"/>
    <mergeCell ref="A65:B65"/>
    <mergeCell ref="C65:D65"/>
    <mergeCell ref="E65:F65"/>
  </mergeCells>
  <phoneticPr fontId="45" type="noConversion"/>
  <pageMargins left="0.94488188976377963" right="0.6692913385826772" top="1.0629921259842521" bottom="1.1417322834645669" header="0.31496062992125984" footer="0"/>
  <pageSetup scale="80" orientation="portrait" r:id="rId1"/>
  <headerFooter alignWithMargins="0">
    <oddHeader>&amp;C&amp;"Arial,Negrita"&amp;16VISTA A LA COLINA 
 SALDOS POR VENCIMIENTO
Mayo 31 de 2019</oddHeader>
    <oddFooter>&amp;R&amp;"Arial,Negrita"&amp;8&amp;G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opLeftCell="A13" workbookViewId="0">
      <selection activeCell="G8" sqref="G8"/>
    </sheetView>
  </sheetViews>
  <sheetFormatPr baseColWidth="10" defaultColWidth="11.42578125" defaultRowHeight="15" x14ac:dyDescent="0.25"/>
  <cols>
    <col min="1" max="1" width="38.28515625" style="136" customWidth="1"/>
    <col min="2" max="2" width="15.42578125" style="136" customWidth="1"/>
    <col min="3" max="4" width="11.42578125" style="136"/>
    <col min="5" max="5" width="12.28515625" style="136" customWidth="1"/>
    <col min="6" max="6" width="14.28515625" style="136" customWidth="1"/>
    <col min="7" max="7" width="18.7109375" style="136" customWidth="1"/>
    <col min="8" max="16384" width="11.42578125" style="136"/>
  </cols>
  <sheetData>
    <row r="1" spans="1:7" ht="15.75" thickBot="1" x14ac:dyDescent="0.3">
      <c r="A1" s="163" t="s">
        <v>53</v>
      </c>
      <c r="B1" s="164">
        <v>43586</v>
      </c>
    </row>
    <row r="3" spans="1:7" x14ac:dyDescent="0.25">
      <c r="A3" s="158" t="s">
        <v>54</v>
      </c>
      <c r="B3" s="159">
        <f>9980921.35+2005999.35+2500+728894.76+5980+500.36</f>
        <v>12724795.819999998</v>
      </c>
      <c r="C3" s="160">
        <v>1</v>
      </c>
      <c r="F3" s="4" t="s">
        <v>3</v>
      </c>
    </row>
    <row r="4" spans="1:7" x14ac:dyDescent="0.25">
      <c r="A4" s="158" t="s">
        <v>55</v>
      </c>
      <c r="B4" s="4">
        <v>9840539.1500000004</v>
      </c>
      <c r="C4" s="161">
        <v>0</v>
      </c>
      <c r="F4" s="288" t="s">
        <v>3</v>
      </c>
      <c r="G4" s="297" t="s">
        <v>3</v>
      </c>
    </row>
    <row r="5" spans="1:7" x14ac:dyDescent="0.25">
      <c r="A5" s="158" t="s">
        <v>56</v>
      </c>
      <c r="B5" s="159">
        <f>B3-B4</f>
        <v>2884256.6699999981</v>
      </c>
      <c r="C5" s="161">
        <f>+B5/B3</f>
        <v>0.22666427900294581</v>
      </c>
      <c r="G5" s="298"/>
    </row>
    <row r="6" spans="1:7" x14ac:dyDescent="0.25">
      <c r="G6" s="331"/>
    </row>
    <row r="7" spans="1:7" x14ac:dyDescent="0.25">
      <c r="A7" s="158" t="s">
        <v>57</v>
      </c>
      <c r="B7" s="162">
        <v>0</v>
      </c>
      <c r="C7" s="160">
        <v>1</v>
      </c>
    </row>
    <row r="8" spans="1:7" x14ac:dyDescent="0.25">
      <c r="A8" s="256" t="s">
        <v>58</v>
      </c>
      <c r="B8" s="162">
        <v>0</v>
      </c>
      <c r="C8" s="257" t="e">
        <f>+B8/B7</f>
        <v>#DIV/0!</v>
      </c>
    </row>
    <row r="9" spans="1:7" x14ac:dyDescent="0.25">
      <c r="A9" s="158" t="s">
        <v>56</v>
      </c>
      <c r="B9" s="162">
        <v>0</v>
      </c>
      <c r="C9" s="161" t="e">
        <f>+B9/B7</f>
        <v>#DIV/0!</v>
      </c>
    </row>
  </sheetData>
  <pageMargins left="0.7" right="0.7" top="0.75" bottom="0.75" header="0.3" footer="0.3"/>
  <pageSetup orientation="portrait" horizontalDpi="4294967294" verticalDpi="0" r:id="rId1"/>
  <ignoredErrors>
    <ignoredError sqref="C9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5" ySplit="1" topLeftCell="F23" activePane="bottomRight" state="frozenSplit"/>
      <selection pane="topRight" activeCell="H1" sqref="H1"/>
      <selection pane="bottomLeft" activeCell="A2" sqref="A2"/>
      <selection pane="bottomRight" activeCell="I14" sqref="I14"/>
    </sheetView>
  </sheetViews>
  <sheetFormatPr baseColWidth="10" defaultColWidth="11.42578125" defaultRowHeight="15" x14ac:dyDescent="0.25"/>
  <cols>
    <col min="1" max="1" width="3" style="240" customWidth="1"/>
    <col min="2" max="2" width="2.140625" style="240" customWidth="1"/>
    <col min="3" max="3" width="2.7109375" style="240" customWidth="1"/>
    <col min="4" max="4" width="2.140625" style="240" customWidth="1"/>
    <col min="5" max="5" width="34.140625" style="240" customWidth="1"/>
    <col min="6" max="6" width="17.42578125" style="186" customWidth="1"/>
    <col min="7" max="7" width="15" style="186" customWidth="1"/>
    <col min="8" max="8" width="13.5703125" style="186" customWidth="1"/>
    <col min="9" max="16384" width="11.42578125" style="172"/>
  </cols>
  <sheetData>
    <row r="1" spans="1:8" s="170" customFormat="1" ht="15.75" thickBot="1" x14ac:dyDescent="0.3">
      <c r="A1" s="241"/>
      <c r="B1" s="167"/>
      <c r="C1" s="168"/>
      <c r="D1" s="168"/>
      <c r="E1" s="168"/>
      <c r="F1" s="168" t="s">
        <v>179</v>
      </c>
      <c r="G1" s="168" t="s">
        <v>160</v>
      </c>
      <c r="H1" s="169"/>
    </row>
    <row r="2" spans="1:8" x14ac:dyDescent="0.25">
      <c r="A2" s="171"/>
      <c r="B2" s="173"/>
      <c r="C2" s="175" t="s">
        <v>102</v>
      </c>
      <c r="D2" s="175"/>
      <c r="E2" s="175"/>
      <c r="F2" s="179"/>
      <c r="G2" s="179"/>
      <c r="H2" s="204"/>
    </row>
    <row r="3" spans="1:8" x14ac:dyDescent="0.25">
      <c r="A3" s="171"/>
      <c r="B3" s="173"/>
      <c r="C3" s="175"/>
      <c r="D3" s="175" t="s">
        <v>103</v>
      </c>
      <c r="E3" s="175"/>
      <c r="F3" s="77">
        <v>49904600.229999997</v>
      </c>
      <c r="G3" s="77">
        <v>49904595</v>
      </c>
      <c r="H3" s="204">
        <f>+F3-G3</f>
        <v>5.2299999967217445</v>
      </c>
    </row>
    <row r="4" spans="1:8" x14ac:dyDescent="0.25">
      <c r="A4" s="171"/>
      <c r="B4" s="173"/>
      <c r="C4" s="175"/>
      <c r="D4" s="175" t="s">
        <v>104</v>
      </c>
      <c r="E4" s="175"/>
      <c r="F4" s="77">
        <v>9138534.5</v>
      </c>
      <c r="G4" s="77">
        <v>1381103.35</v>
      </c>
      <c r="H4" s="204">
        <f>+F4-G4</f>
        <v>7757431.1500000004</v>
      </c>
    </row>
    <row r="5" spans="1:8" ht="15.75" thickBot="1" x14ac:dyDescent="0.3">
      <c r="A5" s="171"/>
      <c r="B5" s="173"/>
      <c r="C5" s="175"/>
      <c r="D5" s="175" t="s">
        <v>105</v>
      </c>
      <c r="E5" s="175"/>
      <c r="F5" s="78">
        <v>-2814111.09</v>
      </c>
      <c r="G5" s="78">
        <v>-4990459.5</v>
      </c>
      <c r="H5" s="204">
        <f>+F5-G5</f>
        <v>2176348.41</v>
      </c>
    </row>
    <row r="6" spans="1:8" ht="15.75" thickBot="1" x14ac:dyDescent="0.3">
      <c r="A6" s="171"/>
      <c r="B6" s="181"/>
      <c r="C6" s="183" t="s">
        <v>106</v>
      </c>
      <c r="D6" s="183"/>
      <c r="E6" s="183"/>
      <c r="F6" s="184">
        <f>SUM(F3:F5)</f>
        <v>56229023.640000001</v>
      </c>
      <c r="G6" s="184">
        <f>SUM(G3:G5)</f>
        <v>46295238.850000001</v>
      </c>
      <c r="H6" s="185">
        <f>SUM(H3:H5)</f>
        <v>9933784.7899999972</v>
      </c>
    </row>
    <row r="7" spans="1:8" ht="21.75" customHeight="1" x14ac:dyDescent="0.25">
      <c r="A7" s="171"/>
      <c r="B7" s="173" t="s">
        <v>107</v>
      </c>
      <c r="C7" s="175"/>
      <c r="D7" s="175"/>
      <c r="E7" s="175"/>
      <c r="F7" s="179"/>
      <c r="G7" s="179"/>
      <c r="H7" s="204"/>
    </row>
    <row r="8" spans="1:8" x14ac:dyDescent="0.25">
      <c r="A8" s="171"/>
      <c r="B8" s="173"/>
      <c r="C8" s="175" t="s">
        <v>108</v>
      </c>
      <c r="D8" s="175"/>
      <c r="E8" s="175"/>
      <c r="F8" s="179"/>
      <c r="G8" s="179"/>
      <c r="H8" s="204"/>
    </row>
    <row r="9" spans="1:8" x14ac:dyDescent="0.25">
      <c r="A9" s="171"/>
      <c r="B9" s="173"/>
      <c r="C9" s="175"/>
      <c r="D9" s="175" t="s">
        <v>109</v>
      </c>
      <c r="E9" s="175"/>
      <c r="F9" s="77">
        <v>12617500</v>
      </c>
      <c r="G9" s="77">
        <v>13046250</v>
      </c>
      <c r="H9" s="204">
        <f t="shared" ref="H9:H16" si="0">+F9-G9</f>
        <v>-428750</v>
      </c>
    </row>
    <row r="10" spans="1:8" x14ac:dyDescent="0.25">
      <c r="A10" s="171"/>
      <c r="B10" s="173"/>
      <c r="C10" s="175"/>
      <c r="D10" s="175" t="s">
        <v>110</v>
      </c>
      <c r="E10" s="175"/>
      <c r="F10" s="77">
        <v>6685175.7000000002</v>
      </c>
      <c r="G10" s="77">
        <v>7157938.8499999996</v>
      </c>
      <c r="H10" s="204">
        <f t="shared" si="0"/>
        <v>-472763.14999999944</v>
      </c>
    </row>
    <row r="11" spans="1:8" x14ac:dyDescent="0.25">
      <c r="A11" s="171"/>
      <c r="B11" s="173"/>
      <c r="C11" s="175"/>
      <c r="D11" s="175" t="s">
        <v>111</v>
      </c>
      <c r="E11" s="175"/>
      <c r="F11" s="77">
        <v>1753750</v>
      </c>
      <c r="G11" s="77">
        <v>2103375</v>
      </c>
      <c r="H11" s="204">
        <f t="shared" si="0"/>
        <v>-349625</v>
      </c>
    </row>
    <row r="12" spans="1:8" x14ac:dyDescent="0.25">
      <c r="A12" s="171"/>
      <c r="B12" s="173"/>
      <c r="C12" s="175"/>
      <c r="D12" s="175" t="s">
        <v>112</v>
      </c>
      <c r="E12" s="175"/>
      <c r="F12" s="77"/>
      <c r="G12" s="77"/>
      <c r="H12" s="204">
        <f t="shared" si="0"/>
        <v>0</v>
      </c>
    </row>
    <row r="13" spans="1:8" x14ac:dyDescent="0.25">
      <c r="A13" s="171"/>
      <c r="B13" s="173"/>
      <c r="C13" s="175"/>
      <c r="D13" s="175"/>
      <c r="E13" s="175" t="s">
        <v>113</v>
      </c>
      <c r="F13" s="77">
        <v>19000</v>
      </c>
      <c r="G13" s="77">
        <v>10000</v>
      </c>
      <c r="H13" s="204">
        <f t="shared" si="0"/>
        <v>9000</v>
      </c>
    </row>
    <row r="14" spans="1:8" x14ac:dyDescent="0.25">
      <c r="A14" s="171"/>
      <c r="B14" s="173"/>
      <c r="C14" s="175"/>
      <c r="D14" s="175"/>
      <c r="E14" s="175" t="s">
        <v>114</v>
      </c>
      <c r="F14" s="77">
        <v>5306480</v>
      </c>
      <c r="G14" s="77">
        <v>7250000</v>
      </c>
      <c r="H14" s="204">
        <f t="shared" si="0"/>
        <v>-1943520</v>
      </c>
    </row>
    <row r="15" spans="1:8" x14ac:dyDescent="0.25">
      <c r="A15" s="171"/>
      <c r="B15" s="173"/>
      <c r="C15" s="175"/>
      <c r="D15" s="175"/>
      <c r="E15" s="175" t="s">
        <v>115</v>
      </c>
      <c r="F15" s="77">
        <v>12529957</v>
      </c>
      <c r="G15" s="77">
        <v>3500000</v>
      </c>
      <c r="H15" s="204">
        <f t="shared" si="0"/>
        <v>9029957</v>
      </c>
    </row>
    <row r="16" spans="1:8" ht="15.75" thickBot="1" x14ac:dyDescent="0.3">
      <c r="A16" s="171"/>
      <c r="B16" s="173"/>
      <c r="C16" s="175"/>
      <c r="D16" s="175"/>
      <c r="E16" s="175" t="s">
        <v>116</v>
      </c>
      <c r="F16" s="275">
        <v>294336.78999999998</v>
      </c>
      <c r="G16" s="275">
        <v>200000</v>
      </c>
      <c r="H16" s="204">
        <f t="shared" si="0"/>
        <v>94336.789999999979</v>
      </c>
    </row>
    <row r="17" spans="1:8" ht="18.75" customHeight="1" thickBot="1" x14ac:dyDescent="0.3">
      <c r="A17" s="171"/>
      <c r="B17" s="181"/>
      <c r="C17" s="183"/>
      <c r="D17" s="183" t="s">
        <v>117</v>
      </c>
      <c r="E17" s="183"/>
      <c r="F17" s="184">
        <f>SUM(F13:F16)</f>
        <v>18149773.789999999</v>
      </c>
      <c r="G17" s="184">
        <f>SUM(G13:G16)</f>
        <v>10960000</v>
      </c>
      <c r="H17" s="185">
        <f>SUM(H13:H16)</f>
        <v>7189773.79</v>
      </c>
    </row>
    <row r="18" spans="1:8" x14ac:dyDescent="0.25">
      <c r="A18" s="171"/>
      <c r="B18" s="173"/>
      <c r="C18" s="175"/>
      <c r="D18" s="175" t="s">
        <v>118</v>
      </c>
      <c r="E18" s="175"/>
      <c r="F18" s="77">
        <v>3632400</v>
      </c>
      <c r="G18" s="77">
        <v>3993750</v>
      </c>
      <c r="H18" s="204">
        <f>+F18-G18</f>
        <v>-361350</v>
      </c>
    </row>
    <row r="19" spans="1:8" x14ac:dyDescent="0.25">
      <c r="A19" s="171"/>
      <c r="B19" s="173"/>
      <c r="C19" s="175"/>
      <c r="D19" s="175" t="s">
        <v>119</v>
      </c>
      <c r="E19" s="175"/>
      <c r="F19" s="77"/>
      <c r="G19" s="77"/>
      <c r="H19" s="204">
        <f t="shared" ref="H19:H24" si="1">+F19-G19</f>
        <v>0</v>
      </c>
    </row>
    <row r="20" spans="1:8" x14ac:dyDescent="0.25">
      <c r="A20" s="171"/>
      <c r="B20" s="173"/>
      <c r="C20" s="175"/>
      <c r="D20" s="175"/>
      <c r="E20" s="175" t="s">
        <v>120</v>
      </c>
      <c r="F20" s="77">
        <v>482312</v>
      </c>
      <c r="G20" s="77">
        <v>532500</v>
      </c>
      <c r="H20" s="204">
        <f t="shared" si="1"/>
        <v>-50188</v>
      </c>
    </row>
    <row r="21" spans="1:8" x14ac:dyDescent="0.25">
      <c r="A21" s="171"/>
      <c r="B21" s="173"/>
      <c r="C21" s="175"/>
      <c r="D21" s="175"/>
      <c r="E21" s="175" t="s">
        <v>121</v>
      </c>
      <c r="F21" s="77">
        <v>0</v>
      </c>
      <c r="G21" s="77">
        <v>267206.5</v>
      </c>
      <c r="H21" s="204">
        <f t="shared" si="1"/>
        <v>-267206.5</v>
      </c>
    </row>
    <row r="22" spans="1:8" x14ac:dyDescent="0.25">
      <c r="A22" s="171"/>
      <c r="B22" s="173"/>
      <c r="C22" s="175"/>
      <c r="D22" s="175"/>
      <c r="E22" s="175" t="s">
        <v>122</v>
      </c>
      <c r="F22" s="77">
        <v>0</v>
      </c>
      <c r="G22" s="77">
        <v>228750</v>
      </c>
      <c r="H22" s="204">
        <f t="shared" si="1"/>
        <v>-228750</v>
      </c>
    </row>
    <row r="23" spans="1:8" x14ac:dyDescent="0.25">
      <c r="A23" s="171"/>
      <c r="B23" s="173"/>
      <c r="C23" s="175"/>
      <c r="D23" s="175"/>
      <c r="E23" s="175" t="s">
        <v>123</v>
      </c>
      <c r="F23" s="77">
        <v>1281420</v>
      </c>
      <c r="G23" s="77">
        <v>1406250</v>
      </c>
      <c r="H23" s="204">
        <f t="shared" si="1"/>
        <v>-124830</v>
      </c>
    </row>
    <row r="24" spans="1:8" ht="15.75" thickBot="1" x14ac:dyDescent="0.3">
      <c r="A24" s="171"/>
      <c r="B24" s="173"/>
      <c r="C24" s="175"/>
      <c r="D24" s="175"/>
      <c r="E24" s="175" t="s">
        <v>124</v>
      </c>
      <c r="F24" s="275">
        <v>452167.5</v>
      </c>
      <c r="G24" s="275">
        <v>468750</v>
      </c>
      <c r="H24" s="204">
        <f t="shared" si="1"/>
        <v>-16582.5</v>
      </c>
    </row>
    <row r="25" spans="1:8" ht="22.5" customHeight="1" thickBot="1" x14ac:dyDescent="0.3">
      <c r="A25" s="171"/>
      <c r="B25" s="181"/>
      <c r="C25" s="183"/>
      <c r="D25" s="183" t="s">
        <v>125</v>
      </c>
      <c r="E25" s="183"/>
      <c r="F25" s="184">
        <f>SUM(F20:F24)</f>
        <v>2215899.5</v>
      </c>
      <c r="G25" s="184">
        <f>SUM(G20:G24)</f>
        <v>2903456.5</v>
      </c>
      <c r="H25" s="185">
        <f>SUM(H20:H24)</f>
        <v>-687557</v>
      </c>
    </row>
    <row r="26" spans="1:8" x14ac:dyDescent="0.25">
      <c r="A26" s="171"/>
      <c r="B26" s="173"/>
      <c r="C26" s="175"/>
      <c r="D26" s="175" t="s">
        <v>126</v>
      </c>
      <c r="E26" s="175"/>
      <c r="F26" s="77">
        <v>0</v>
      </c>
      <c r="G26" s="77">
        <v>150000</v>
      </c>
      <c r="H26" s="204">
        <f>+F26-G26</f>
        <v>-150000</v>
      </c>
    </row>
    <row r="27" spans="1:8" ht="15.75" thickBot="1" x14ac:dyDescent="0.3">
      <c r="A27" s="171"/>
      <c r="B27" s="173"/>
      <c r="C27" s="175"/>
      <c r="D27" s="175" t="s">
        <v>127</v>
      </c>
      <c r="E27" s="175"/>
      <c r="F27" s="275">
        <v>125000</v>
      </c>
      <c r="G27" s="275">
        <v>125000</v>
      </c>
      <c r="H27" s="204">
        <f>+F27-G27</f>
        <v>0</v>
      </c>
    </row>
    <row r="28" spans="1:8" ht="21" customHeight="1" thickBot="1" x14ac:dyDescent="0.3">
      <c r="A28" s="171"/>
      <c r="B28" s="181"/>
      <c r="C28" s="183" t="s">
        <v>128</v>
      </c>
      <c r="D28" s="183"/>
      <c r="E28" s="183"/>
      <c r="F28" s="184">
        <f>+F9+F10+F11+F17+F18+F25+F26+F27</f>
        <v>45179498.989999995</v>
      </c>
      <c r="G28" s="184">
        <f>+G9+G10+G11+G17+G18+G25+G26+G27</f>
        <v>40439770.350000001</v>
      </c>
      <c r="H28" s="185">
        <f>+H9+H10+H11+H17+H18+H25+H26+H27</f>
        <v>4739728.6400000006</v>
      </c>
    </row>
    <row r="29" spans="1:8" ht="15.75" thickBot="1" x14ac:dyDescent="0.3">
      <c r="A29" s="171"/>
      <c r="B29" s="173"/>
      <c r="C29" s="175" t="s">
        <v>129</v>
      </c>
      <c r="D29" s="175"/>
      <c r="E29" s="175"/>
      <c r="F29" s="179"/>
      <c r="G29" s="179"/>
      <c r="H29" s="204"/>
    </row>
    <row r="30" spans="1:8" ht="15.75" hidden="1" thickBot="1" x14ac:dyDescent="0.3">
      <c r="A30" s="171"/>
      <c r="B30" s="173"/>
      <c r="C30" s="175"/>
      <c r="D30" s="175" t="s">
        <v>130</v>
      </c>
      <c r="E30" s="175"/>
      <c r="F30" s="179">
        <v>0</v>
      </c>
      <c r="G30" s="179">
        <v>0</v>
      </c>
      <c r="H30" s="204">
        <f t="shared" ref="H30:H38" si="2">SUM(F30:G30)</f>
        <v>0</v>
      </c>
    </row>
    <row r="31" spans="1:8" ht="15.75" hidden="1" thickBot="1" x14ac:dyDescent="0.3">
      <c r="A31" s="171"/>
      <c r="B31" s="173"/>
      <c r="C31" s="175"/>
      <c r="D31" s="175" t="s">
        <v>131</v>
      </c>
      <c r="E31" s="175"/>
      <c r="F31" s="179">
        <v>0</v>
      </c>
      <c r="G31" s="179">
        <v>0</v>
      </c>
      <c r="H31" s="204">
        <f t="shared" si="2"/>
        <v>0</v>
      </c>
    </row>
    <row r="32" spans="1:8" ht="15.75" hidden="1" thickBot="1" x14ac:dyDescent="0.3">
      <c r="A32" s="171"/>
      <c r="B32" s="173"/>
      <c r="C32" s="175"/>
      <c r="D32" s="175" t="s">
        <v>132</v>
      </c>
      <c r="E32" s="175"/>
      <c r="F32" s="179">
        <v>525076.76</v>
      </c>
      <c r="G32" s="179">
        <v>0</v>
      </c>
      <c r="H32" s="204">
        <f t="shared" si="2"/>
        <v>525076.76</v>
      </c>
    </row>
    <row r="33" spans="1:8" ht="15.75" hidden="1" thickBot="1" x14ac:dyDescent="0.3">
      <c r="A33" s="171"/>
      <c r="B33" s="173"/>
      <c r="C33" s="175"/>
      <c r="D33" s="175" t="s">
        <v>133</v>
      </c>
      <c r="E33" s="175"/>
      <c r="F33" s="179">
        <v>500000</v>
      </c>
      <c r="G33" s="179">
        <v>0</v>
      </c>
      <c r="H33" s="204">
        <f t="shared" si="2"/>
        <v>500000</v>
      </c>
    </row>
    <row r="34" spans="1:8" ht="15.75" hidden="1" thickBot="1" x14ac:dyDescent="0.3">
      <c r="A34" s="171"/>
      <c r="B34" s="173"/>
      <c r="C34" s="175"/>
      <c r="D34" s="175" t="s">
        <v>134</v>
      </c>
      <c r="E34" s="175"/>
      <c r="F34" s="179">
        <v>0</v>
      </c>
      <c r="G34" s="179">
        <v>0</v>
      </c>
      <c r="H34" s="204">
        <f t="shared" si="2"/>
        <v>0</v>
      </c>
    </row>
    <row r="35" spans="1:8" ht="15.75" hidden="1" thickBot="1" x14ac:dyDescent="0.3">
      <c r="A35" s="171"/>
      <c r="B35" s="173"/>
      <c r="C35" s="175"/>
      <c r="D35" s="175" t="s">
        <v>135</v>
      </c>
      <c r="E35" s="175"/>
      <c r="F35" s="179">
        <v>275780.05</v>
      </c>
      <c r="G35" s="179">
        <v>0</v>
      </c>
      <c r="H35" s="204">
        <f t="shared" si="2"/>
        <v>275780.05</v>
      </c>
    </row>
    <row r="36" spans="1:8" ht="15.75" hidden="1" thickBot="1" x14ac:dyDescent="0.3">
      <c r="A36" s="171"/>
      <c r="B36" s="173"/>
      <c r="C36" s="175"/>
      <c r="D36" s="175" t="s">
        <v>136</v>
      </c>
      <c r="E36" s="175"/>
      <c r="F36" s="179">
        <v>105000</v>
      </c>
      <c r="G36" s="179">
        <v>0</v>
      </c>
      <c r="H36" s="204">
        <f t="shared" si="2"/>
        <v>105000</v>
      </c>
    </row>
    <row r="37" spans="1:8" ht="15.75" hidden="1" thickBot="1" x14ac:dyDescent="0.3">
      <c r="A37" s="171"/>
      <c r="B37" s="173"/>
      <c r="C37" s="175"/>
      <c r="D37" s="175" t="s">
        <v>137</v>
      </c>
      <c r="E37" s="175"/>
      <c r="F37" s="179">
        <v>18700</v>
      </c>
      <c r="G37" s="179">
        <v>0</v>
      </c>
      <c r="H37" s="204">
        <f t="shared" si="2"/>
        <v>18700</v>
      </c>
    </row>
    <row r="38" spans="1:8" ht="15.75" hidden="1" thickBot="1" x14ac:dyDescent="0.3">
      <c r="A38" s="171"/>
      <c r="B38" s="173"/>
      <c r="C38" s="175"/>
      <c r="D38" s="175" t="s">
        <v>138</v>
      </c>
      <c r="E38" s="175"/>
      <c r="F38" s="179">
        <v>237655.7</v>
      </c>
      <c r="G38" s="179">
        <v>0</v>
      </c>
      <c r="H38" s="204">
        <f t="shared" si="2"/>
        <v>237655.7</v>
      </c>
    </row>
    <row r="39" spans="1:8" ht="20.25" customHeight="1" thickBot="1" x14ac:dyDescent="0.3">
      <c r="A39" s="171"/>
      <c r="B39" s="181"/>
      <c r="C39" s="183" t="s">
        <v>139</v>
      </c>
      <c r="D39" s="183"/>
      <c r="E39" s="183"/>
      <c r="F39" s="184">
        <v>4363155.6100000003</v>
      </c>
      <c r="G39" s="184">
        <v>4792500</v>
      </c>
      <c r="H39" s="185">
        <f>+F39-G39</f>
        <v>-429344.38999999966</v>
      </c>
    </row>
    <row r="40" spans="1:8" ht="20.25" customHeight="1" thickBot="1" x14ac:dyDescent="0.3">
      <c r="A40" s="171"/>
      <c r="B40" s="181"/>
      <c r="C40" s="183" t="s">
        <v>140</v>
      </c>
      <c r="D40" s="183"/>
      <c r="E40" s="183"/>
      <c r="F40" s="184">
        <f>+F28+F39</f>
        <v>49542654.599999994</v>
      </c>
      <c r="G40" s="184">
        <f>+G28+G39</f>
        <v>45232270.350000001</v>
      </c>
      <c r="H40" s="185">
        <f>+F40-G40</f>
        <v>4310384.2499999925</v>
      </c>
    </row>
    <row r="41" spans="1:8" ht="20.25" hidden="1" customHeight="1" thickBot="1" x14ac:dyDescent="0.3">
      <c r="A41" s="171"/>
      <c r="B41" s="173"/>
      <c r="C41" s="175"/>
      <c r="D41" s="175"/>
      <c r="E41" s="175"/>
      <c r="F41" s="179">
        <v>0</v>
      </c>
      <c r="G41" s="179">
        <v>0</v>
      </c>
      <c r="H41" s="204">
        <f>SUM(F41:G41)</f>
        <v>0</v>
      </c>
    </row>
    <row r="42" spans="1:8" ht="20.25" customHeight="1" thickBot="1" x14ac:dyDescent="0.3">
      <c r="A42" s="171"/>
      <c r="B42" s="242" t="s">
        <v>142</v>
      </c>
      <c r="C42" s="243"/>
      <c r="D42" s="243"/>
      <c r="E42" s="243"/>
      <c r="F42" s="244">
        <f>+F6-F40-F41</f>
        <v>6686369.0400000066</v>
      </c>
      <c r="G42" s="244">
        <f>+G6-G40-G41</f>
        <v>1062968.5</v>
      </c>
      <c r="H42" s="245">
        <f>+H6-H40-H41</f>
        <v>5623400.5400000047</v>
      </c>
    </row>
    <row r="43" spans="1:8" x14ac:dyDescent="0.25">
      <c r="A43" s="171"/>
      <c r="B43" s="233"/>
      <c r="C43" s="234"/>
      <c r="D43" s="234"/>
      <c r="E43" s="234"/>
      <c r="F43" s="189"/>
      <c r="G43" s="189"/>
      <c r="H43" s="190"/>
    </row>
    <row r="44" spans="1:8" s="232" customFormat="1" ht="30" customHeight="1" thickBot="1" x14ac:dyDescent="0.3">
      <c r="A44" s="171"/>
      <c r="B44" s="289" t="s">
        <v>3</v>
      </c>
      <c r="C44" s="200"/>
      <c r="D44" s="239"/>
      <c r="E44" s="239"/>
      <c r="F44" s="290"/>
      <c r="G44" s="290"/>
      <c r="H44" s="291"/>
    </row>
    <row r="45" spans="1:8" x14ac:dyDescent="0.25">
      <c r="A45" s="171"/>
      <c r="B45" s="198" t="s">
        <v>3</v>
      </c>
      <c r="C45" s="202"/>
    </row>
  </sheetData>
  <pageMargins left="0.47244094488188981" right="0.19685039370078741" top="1.6929133858267718" bottom="0.70866141732283472" header="0.78740157480314965" footer="0.31496062992125984"/>
  <pageSetup orientation="portrait" horizontalDpi="4294967294" r:id="rId1"/>
  <headerFooter>
    <oddHeader>&amp;C&amp;"Arial,Negrita"&amp;12 CONDOMINIO VISTAS A LA COLINA
Estado de Resultados (Expresado en Colones)
Mayo 31 de   2019</oddHeader>
  </headerFooter>
  <ignoredErrors>
    <ignoredError sqref="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227"/>
  <sheetViews>
    <sheetView zoomScale="90" zoomScaleNormal="90" workbookViewId="0">
      <pane xSplit="1" ySplit="1" topLeftCell="B203" activePane="bottomRight" state="frozenSplit"/>
      <selection pane="topRight" activeCell="I1" sqref="I1"/>
      <selection pane="bottomLeft" activeCell="A2" sqref="A2"/>
      <selection pane="bottomRight" activeCell="C212" sqref="C212"/>
    </sheetView>
  </sheetViews>
  <sheetFormatPr baseColWidth="10" defaultColWidth="11.42578125" defaultRowHeight="15" x14ac:dyDescent="0.25"/>
  <cols>
    <col min="1" max="1" width="35.140625" style="258" customWidth="1"/>
    <col min="2" max="2" width="16.42578125" style="132" customWidth="1"/>
    <col min="3" max="3" width="36.28515625" style="76" customWidth="1"/>
    <col min="4" max="4" width="67" style="76" customWidth="1"/>
    <col min="5" max="5" width="27.140625" style="76" customWidth="1"/>
    <col min="6" max="6" width="11.42578125" style="75"/>
    <col min="7" max="7" width="12.5703125" style="75" customWidth="1"/>
    <col min="8" max="16384" width="11.42578125" style="75"/>
  </cols>
  <sheetData>
    <row r="1" spans="1:5" ht="15.75" thickBot="1" x14ac:dyDescent="0.3">
      <c r="A1" s="292" t="s">
        <v>27</v>
      </c>
      <c r="B1" s="293" t="s">
        <v>28</v>
      </c>
      <c r="C1" s="293" t="s">
        <v>30</v>
      </c>
      <c r="D1" s="293" t="s">
        <v>31</v>
      </c>
      <c r="E1" s="294" t="s">
        <v>32</v>
      </c>
    </row>
    <row r="2" spans="1:5" x14ac:dyDescent="0.25">
      <c r="A2" s="332" t="s">
        <v>476</v>
      </c>
      <c r="B2" s="333"/>
      <c r="C2" s="334"/>
      <c r="D2" s="334"/>
      <c r="E2" s="335"/>
    </row>
    <row r="3" spans="1:5" x14ac:dyDescent="0.25">
      <c r="A3" s="336" t="s">
        <v>477</v>
      </c>
      <c r="B3" s="337"/>
      <c r="C3" s="338"/>
      <c r="D3" s="338"/>
      <c r="E3" s="339"/>
    </row>
    <row r="4" spans="1:5" x14ac:dyDescent="0.25">
      <c r="A4" s="336" t="s">
        <v>108</v>
      </c>
      <c r="B4" s="337"/>
      <c r="C4" s="338"/>
      <c r="D4" s="338"/>
      <c r="E4" s="339"/>
    </row>
    <row r="5" spans="1:5" x14ac:dyDescent="0.25">
      <c r="A5" s="336" t="s">
        <v>109</v>
      </c>
      <c r="B5" s="337"/>
      <c r="C5" s="338"/>
      <c r="D5" s="338"/>
      <c r="E5" s="339"/>
    </row>
    <row r="6" spans="1:5" x14ac:dyDescent="0.25">
      <c r="A6" s="340" t="s">
        <v>478</v>
      </c>
      <c r="B6" s="341" t="s">
        <v>479</v>
      </c>
      <c r="C6" s="342" t="s">
        <v>205</v>
      </c>
      <c r="D6" s="342" t="s">
        <v>480</v>
      </c>
      <c r="E6" s="343">
        <v>1261750</v>
      </c>
    </row>
    <row r="7" spans="1:5" x14ac:dyDescent="0.25">
      <c r="A7" s="340" t="s">
        <v>478</v>
      </c>
      <c r="B7" s="341" t="s">
        <v>479</v>
      </c>
      <c r="C7" s="342" t="s">
        <v>205</v>
      </c>
      <c r="D7" s="342" t="s">
        <v>481</v>
      </c>
      <c r="E7" s="343">
        <v>1261750</v>
      </c>
    </row>
    <row r="8" spans="1:5" x14ac:dyDescent="0.25">
      <c r="A8" s="340" t="s">
        <v>478</v>
      </c>
      <c r="B8" s="341">
        <v>43771</v>
      </c>
      <c r="C8" s="342" t="s">
        <v>205</v>
      </c>
      <c r="D8" s="342" t="s">
        <v>482</v>
      </c>
      <c r="E8" s="343">
        <v>1377377</v>
      </c>
    </row>
    <row r="9" spans="1:5" x14ac:dyDescent="0.25">
      <c r="A9" s="340" t="s">
        <v>478</v>
      </c>
      <c r="B9" s="341">
        <v>43771</v>
      </c>
      <c r="C9" s="342" t="s">
        <v>205</v>
      </c>
      <c r="D9" s="342" t="s">
        <v>483</v>
      </c>
      <c r="E9" s="343">
        <v>1377377</v>
      </c>
    </row>
    <row r="10" spans="1:5" x14ac:dyDescent="0.25">
      <c r="A10" s="340" t="s">
        <v>478</v>
      </c>
      <c r="B10" s="341">
        <v>43802</v>
      </c>
      <c r="C10" s="342" t="s">
        <v>205</v>
      </c>
      <c r="D10" s="342" t="s">
        <v>484</v>
      </c>
      <c r="E10" s="343">
        <v>1377377</v>
      </c>
    </row>
    <row r="11" spans="1:5" x14ac:dyDescent="0.25">
      <c r="A11" s="340" t="s">
        <v>478</v>
      </c>
      <c r="B11" s="341">
        <v>43802</v>
      </c>
      <c r="C11" s="342" t="s">
        <v>205</v>
      </c>
      <c r="D11" s="342" t="s">
        <v>485</v>
      </c>
      <c r="E11" s="343">
        <v>1377377</v>
      </c>
    </row>
    <row r="12" spans="1:5" x14ac:dyDescent="0.25">
      <c r="A12" s="340" t="s">
        <v>478</v>
      </c>
      <c r="B12" s="341">
        <v>43712</v>
      </c>
      <c r="C12" s="342" t="s">
        <v>205</v>
      </c>
      <c r="D12" s="342" t="s">
        <v>486</v>
      </c>
      <c r="E12" s="343">
        <v>1261750</v>
      </c>
    </row>
    <row r="13" spans="1:5" x14ac:dyDescent="0.25">
      <c r="A13" s="340" t="s">
        <v>478</v>
      </c>
      <c r="B13" s="341">
        <v>43712</v>
      </c>
      <c r="C13" s="342" t="s">
        <v>205</v>
      </c>
      <c r="D13" s="342" t="s">
        <v>487</v>
      </c>
      <c r="E13" s="343">
        <v>1261750</v>
      </c>
    </row>
    <row r="14" spans="1:5" x14ac:dyDescent="0.25">
      <c r="A14" s="340" t="s">
        <v>478</v>
      </c>
      <c r="B14" s="341">
        <v>43743</v>
      </c>
      <c r="C14" s="342" t="s">
        <v>205</v>
      </c>
      <c r="D14" s="342" t="s">
        <v>488</v>
      </c>
      <c r="E14" s="343">
        <v>1261750</v>
      </c>
    </row>
    <row r="15" spans="1:5" ht="15.75" thickBot="1" x14ac:dyDescent="0.3">
      <c r="A15" s="340" t="s">
        <v>478</v>
      </c>
      <c r="B15" s="341">
        <v>43743</v>
      </c>
      <c r="C15" s="342" t="s">
        <v>205</v>
      </c>
      <c r="D15" s="342" t="s">
        <v>489</v>
      </c>
      <c r="E15" s="343">
        <v>1261750</v>
      </c>
    </row>
    <row r="16" spans="1:5" ht="15.75" thickBot="1" x14ac:dyDescent="0.3">
      <c r="A16" s="346" t="s">
        <v>490</v>
      </c>
      <c r="B16" s="347"/>
      <c r="C16" s="348"/>
      <c r="D16" s="348"/>
      <c r="E16" s="349">
        <f>ROUND(SUM(E5:E15),5)</f>
        <v>13080008</v>
      </c>
    </row>
    <row r="17" spans="1:5" x14ac:dyDescent="0.25">
      <c r="A17" s="336" t="s">
        <v>110</v>
      </c>
      <c r="B17" s="337"/>
      <c r="C17" s="338"/>
      <c r="D17" s="338"/>
      <c r="E17" s="339"/>
    </row>
    <row r="18" spans="1:5" x14ac:dyDescent="0.25">
      <c r="A18" s="340" t="s">
        <v>478</v>
      </c>
      <c r="B18" s="341" t="s">
        <v>491</v>
      </c>
      <c r="C18" s="342" t="s">
        <v>192</v>
      </c>
      <c r="D18" s="342" t="s">
        <v>492</v>
      </c>
      <c r="E18" s="343">
        <v>668517.56999999995</v>
      </c>
    </row>
    <row r="19" spans="1:5" x14ac:dyDescent="0.25">
      <c r="A19" s="340" t="s">
        <v>478</v>
      </c>
      <c r="B19" s="341" t="s">
        <v>491</v>
      </c>
      <c r="C19" s="342" t="s">
        <v>192</v>
      </c>
      <c r="D19" s="342" t="s">
        <v>493</v>
      </c>
      <c r="E19" s="343">
        <v>668517.56999999995</v>
      </c>
    </row>
    <row r="20" spans="1:5" x14ac:dyDescent="0.25">
      <c r="A20" s="340" t="s">
        <v>478</v>
      </c>
      <c r="B20" s="341">
        <v>43771</v>
      </c>
      <c r="C20" s="342" t="s">
        <v>192</v>
      </c>
      <c r="D20" s="342" t="s">
        <v>494</v>
      </c>
      <c r="E20" s="343">
        <v>668517.56999999995</v>
      </c>
    </row>
    <row r="21" spans="1:5" x14ac:dyDescent="0.25">
      <c r="A21" s="340" t="s">
        <v>478</v>
      </c>
      <c r="B21" s="341">
        <v>43771</v>
      </c>
      <c r="C21" s="342" t="s">
        <v>192</v>
      </c>
      <c r="D21" s="342" t="s">
        <v>495</v>
      </c>
      <c r="E21" s="343">
        <v>668517.56999999995</v>
      </c>
    </row>
    <row r="22" spans="1:5" x14ac:dyDescent="0.25">
      <c r="A22" s="340" t="s">
        <v>478</v>
      </c>
      <c r="B22" s="341">
        <v>43802</v>
      </c>
      <c r="C22" s="342" t="s">
        <v>192</v>
      </c>
      <c r="D22" s="342" t="s">
        <v>496</v>
      </c>
      <c r="E22" s="343">
        <v>668517.56999999995</v>
      </c>
    </row>
    <row r="23" spans="1:5" x14ac:dyDescent="0.25">
      <c r="A23" s="340" t="s">
        <v>478</v>
      </c>
      <c r="B23" s="341">
        <v>43802</v>
      </c>
      <c r="C23" s="342" t="s">
        <v>192</v>
      </c>
      <c r="D23" s="342" t="s">
        <v>497</v>
      </c>
      <c r="E23" s="343">
        <v>668517.56999999995</v>
      </c>
    </row>
    <row r="24" spans="1:5" x14ac:dyDescent="0.25">
      <c r="A24" s="340" t="s">
        <v>478</v>
      </c>
      <c r="B24" s="341">
        <v>43712</v>
      </c>
      <c r="C24" s="342" t="s">
        <v>192</v>
      </c>
      <c r="D24" s="342" t="s">
        <v>498</v>
      </c>
      <c r="E24" s="343">
        <v>668517.56999999995</v>
      </c>
    </row>
    <row r="25" spans="1:5" x14ac:dyDescent="0.25">
      <c r="A25" s="340" t="s">
        <v>478</v>
      </c>
      <c r="B25" s="341">
        <v>43712</v>
      </c>
      <c r="C25" s="342" t="s">
        <v>192</v>
      </c>
      <c r="D25" s="342" t="s">
        <v>499</v>
      </c>
      <c r="E25" s="343">
        <v>668517.56999999995</v>
      </c>
    </row>
    <row r="26" spans="1:5" x14ac:dyDescent="0.25">
      <c r="A26" s="340" t="s">
        <v>478</v>
      </c>
      <c r="B26" s="341">
        <v>43743</v>
      </c>
      <c r="C26" s="342" t="s">
        <v>192</v>
      </c>
      <c r="D26" s="342" t="s">
        <v>500</v>
      </c>
      <c r="E26" s="343">
        <v>668517.56999999995</v>
      </c>
    </row>
    <row r="27" spans="1:5" ht="15.75" thickBot="1" x14ac:dyDescent="0.3">
      <c r="A27" s="340" t="s">
        <v>478</v>
      </c>
      <c r="B27" s="341">
        <v>43743</v>
      </c>
      <c r="C27" s="342" t="s">
        <v>192</v>
      </c>
      <c r="D27" s="342" t="s">
        <v>501</v>
      </c>
      <c r="E27" s="344">
        <v>668517.56999999995</v>
      </c>
    </row>
    <row r="28" spans="1:5" ht="15.75" thickBot="1" x14ac:dyDescent="0.3">
      <c r="A28" s="346" t="s">
        <v>502</v>
      </c>
      <c r="B28" s="347"/>
      <c r="C28" s="348"/>
      <c r="D28" s="348"/>
      <c r="E28" s="349">
        <f>ROUND(SUM(E17:E27),5)</f>
        <v>6685175.7000000002</v>
      </c>
    </row>
    <row r="29" spans="1:5" x14ac:dyDescent="0.25">
      <c r="A29" s="336" t="s">
        <v>111</v>
      </c>
      <c r="B29" s="337"/>
      <c r="C29" s="338"/>
      <c r="D29" s="338"/>
      <c r="E29" s="339"/>
    </row>
    <row r="30" spans="1:5" x14ac:dyDescent="0.25">
      <c r="A30" s="340" t="s">
        <v>478</v>
      </c>
      <c r="B30" s="341">
        <v>43771</v>
      </c>
      <c r="C30" s="342" t="s">
        <v>192</v>
      </c>
      <c r="D30" s="342" t="s">
        <v>503</v>
      </c>
      <c r="E30" s="343">
        <v>195000</v>
      </c>
    </row>
    <row r="31" spans="1:5" x14ac:dyDescent="0.25">
      <c r="A31" s="340" t="s">
        <v>478</v>
      </c>
      <c r="B31" s="341">
        <v>43771</v>
      </c>
      <c r="C31" s="342" t="s">
        <v>192</v>
      </c>
      <c r="D31" s="342" t="s">
        <v>504</v>
      </c>
      <c r="E31" s="343">
        <v>48750</v>
      </c>
    </row>
    <row r="32" spans="1:5" x14ac:dyDescent="0.25">
      <c r="A32" s="340" t="s">
        <v>478</v>
      </c>
      <c r="B32" s="341" t="s">
        <v>505</v>
      </c>
      <c r="C32" s="342" t="s">
        <v>192</v>
      </c>
      <c r="D32" s="342" t="s">
        <v>506</v>
      </c>
      <c r="E32" s="343">
        <v>390000</v>
      </c>
    </row>
    <row r="33" spans="1:5" x14ac:dyDescent="0.25">
      <c r="A33" s="340" t="s">
        <v>478</v>
      </c>
      <c r="B33" s="341" t="s">
        <v>505</v>
      </c>
      <c r="C33" s="342" t="s">
        <v>192</v>
      </c>
      <c r="D33" s="342" t="s">
        <v>507</v>
      </c>
      <c r="E33" s="343">
        <v>390000</v>
      </c>
    </row>
    <row r="34" spans="1:5" x14ac:dyDescent="0.25">
      <c r="A34" s="340" t="s">
        <v>478</v>
      </c>
      <c r="B34" s="341" t="s">
        <v>505</v>
      </c>
      <c r="C34" s="342" t="s">
        <v>192</v>
      </c>
      <c r="D34" s="342" t="s">
        <v>508</v>
      </c>
      <c r="E34" s="343">
        <v>390000</v>
      </c>
    </row>
    <row r="35" spans="1:5" ht="15.75" thickBot="1" x14ac:dyDescent="0.3">
      <c r="A35" s="340" t="s">
        <v>478</v>
      </c>
      <c r="B35" s="341">
        <v>43743</v>
      </c>
      <c r="C35" s="342" t="s">
        <v>192</v>
      </c>
      <c r="D35" s="342" t="s">
        <v>509</v>
      </c>
      <c r="E35" s="344">
        <v>340000</v>
      </c>
    </row>
    <row r="36" spans="1:5" ht="15.75" thickBot="1" x14ac:dyDescent="0.3">
      <c r="A36" s="346" t="s">
        <v>510</v>
      </c>
      <c r="B36" s="347"/>
      <c r="C36" s="348"/>
      <c r="D36" s="348"/>
      <c r="E36" s="349">
        <f>ROUND(SUM(E29:E35),5)</f>
        <v>1753750</v>
      </c>
    </row>
    <row r="37" spans="1:5" x14ac:dyDescent="0.25">
      <c r="A37" s="336" t="s">
        <v>112</v>
      </c>
      <c r="B37" s="337"/>
      <c r="C37" s="338"/>
      <c r="D37" s="338"/>
      <c r="E37" s="339"/>
    </row>
    <row r="38" spans="1:5" x14ac:dyDescent="0.25">
      <c r="A38" s="336" t="s">
        <v>113</v>
      </c>
      <c r="B38" s="337"/>
      <c r="C38" s="338"/>
      <c r="D38" s="338"/>
      <c r="E38" s="339"/>
    </row>
    <row r="39" spans="1:5" x14ac:dyDescent="0.25">
      <c r="A39" s="340" t="s">
        <v>210</v>
      </c>
      <c r="B39" s="341" t="s">
        <v>511</v>
      </c>
      <c r="C39" s="342" t="s">
        <v>512</v>
      </c>
      <c r="D39" s="342" t="s">
        <v>513</v>
      </c>
      <c r="E39" s="343">
        <v>10000</v>
      </c>
    </row>
    <row r="40" spans="1:5" x14ac:dyDescent="0.25">
      <c r="A40" s="340" t="s">
        <v>478</v>
      </c>
      <c r="B40" s="341">
        <v>43802</v>
      </c>
      <c r="C40" s="342" t="s">
        <v>212</v>
      </c>
      <c r="D40" s="342" t="s">
        <v>514</v>
      </c>
      <c r="E40" s="343">
        <v>2000</v>
      </c>
    </row>
    <row r="41" spans="1:5" x14ac:dyDescent="0.25">
      <c r="A41" s="340" t="s">
        <v>210</v>
      </c>
      <c r="B41" s="341" t="s">
        <v>515</v>
      </c>
      <c r="C41" s="342" t="s">
        <v>320</v>
      </c>
      <c r="D41" s="342" t="s">
        <v>321</v>
      </c>
      <c r="E41" s="343">
        <v>4000</v>
      </c>
    </row>
    <row r="42" spans="1:5" ht="15.75" thickBot="1" x14ac:dyDescent="0.3">
      <c r="A42" s="340" t="s">
        <v>210</v>
      </c>
      <c r="B42" s="341" t="s">
        <v>318</v>
      </c>
      <c r="C42" s="342" t="s">
        <v>320</v>
      </c>
      <c r="D42" s="342" t="s">
        <v>321</v>
      </c>
      <c r="E42" s="344">
        <v>3000</v>
      </c>
    </row>
    <row r="43" spans="1:5" ht="15.75" thickBot="1" x14ac:dyDescent="0.3">
      <c r="A43" s="346" t="s">
        <v>516</v>
      </c>
      <c r="B43" s="347"/>
      <c r="C43" s="348"/>
      <c r="D43" s="348"/>
      <c r="E43" s="349">
        <f>ROUND(SUM(E38:E42),5)</f>
        <v>19000</v>
      </c>
    </row>
    <row r="44" spans="1:5" x14ac:dyDescent="0.25">
      <c r="A44" s="336" t="s">
        <v>114</v>
      </c>
      <c r="B44" s="337"/>
      <c r="C44" s="338"/>
      <c r="D44" s="338"/>
      <c r="E44" s="339"/>
    </row>
    <row r="45" spans="1:5" x14ac:dyDescent="0.25">
      <c r="A45" s="340" t="s">
        <v>210</v>
      </c>
      <c r="B45" s="341">
        <v>43770</v>
      </c>
      <c r="C45" s="342" t="s">
        <v>244</v>
      </c>
      <c r="D45" s="342" t="s">
        <v>517</v>
      </c>
      <c r="E45" s="343">
        <v>1073315</v>
      </c>
    </row>
    <row r="46" spans="1:5" ht="15.75" thickBot="1" x14ac:dyDescent="0.3">
      <c r="A46" s="350" t="s">
        <v>210</v>
      </c>
      <c r="B46" s="351">
        <v>43770</v>
      </c>
      <c r="C46" s="352" t="s">
        <v>244</v>
      </c>
      <c r="D46" s="352" t="s">
        <v>247</v>
      </c>
      <c r="E46" s="344">
        <v>88565</v>
      </c>
    </row>
    <row r="47" spans="1:5" x14ac:dyDescent="0.25">
      <c r="A47" s="340" t="s">
        <v>210</v>
      </c>
      <c r="B47" s="341">
        <v>43770</v>
      </c>
      <c r="C47" s="342" t="s">
        <v>244</v>
      </c>
      <c r="D47" s="342" t="s">
        <v>245</v>
      </c>
      <c r="E47" s="343">
        <v>56115</v>
      </c>
    </row>
    <row r="48" spans="1:5" x14ac:dyDescent="0.25">
      <c r="A48" s="340" t="s">
        <v>210</v>
      </c>
      <c r="B48" s="341">
        <v>43648</v>
      </c>
      <c r="C48" s="342" t="s">
        <v>244</v>
      </c>
      <c r="D48" s="342" t="s">
        <v>247</v>
      </c>
      <c r="E48" s="343">
        <v>1001485</v>
      </c>
    </row>
    <row r="49" spans="1:5" x14ac:dyDescent="0.25">
      <c r="A49" s="340" t="s">
        <v>210</v>
      </c>
      <c r="B49" s="341">
        <v>43679</v>
      </c>
      <c r="C49" s="342" t="s">
        <v>244</v>
      </c>
      <c r="D49" s="342" t="s">
        <v>518</v>
      </c>
      <c r="E49" s="343">
        <v>84230</v>
      </c>
    </row>
    <row r="50" spans="1:5" x14ac:dyDescent="0.25">
      <c r="A50" s="340" t="s">
        <v>210</v>
      </c>
      <c r="B50" s="341">
        <v>43679</v>
      </c>
      <c r="C50" s="342" t="s">
        <v>244</v>
      </c>
      <c r="D50" s="342" t="s">
        <v>519</v>
      </c>
      <c r="E50" s="343">
        <v>51650</v>
      </c>
    </row>
    <row r="51" spans="1:5" x14ac:dyDescent="0.25">
      <c r="A51" s="340" t="s">
        <v>210</v>
      </c>
      <c r="B51" s="341">
        <v>43680</v>
      </c>
      <c r="C51" s="342" t="s">
        <v>244</v>
      </c>
      <c r="D51" s="342" t="s">
        <v>517</v>
      </c>
      <c r="E51" s="343">
        <v>922885</v>
      </c>
    </row>
    <row r="52" spans="1:5" x14ac:dyDescent="0.25">
      <c r="A52" s="340" t="s">
        <v>210</v>
      </c>
      <c r="B52" s="341">
        <v>43802</v>
      </c>
      <c r="C52" s="342" t="s">
        <v>244</v>
      </c>
      <c r="D52" s="342" t="s">
        <v>245</v>
      </c>
      <c r="E52" s="343">
        <v>37015</v>
      </c>
    </row>
    <row r="53" spans="1:5" x14ac:dyDescent="0.25">
      <c r="A53" s="340" t="s">
        <v>210</v>
      </c>
      <c r="B53" s="341">
        <v>43802</v>
      </c>
      <c r="C53" s="342" t="s">
        <v>244</v>
      </c>
      <c r="D53" s="342" t="s">
        <v>517</v>
      </c>
      <c r="E53" s="343">
        <v>84380</v>
      </c>
    </row>
    <row r="54" spans="1:5" x14ac:dyDescent="0.25">
      <c r="A54" s="340" t="s">
        <v>210</v>
      </c>
      <c r="B54" s="341">
        <v>43712</v>
      </c>
      <c r="C54" s="342" t="s">
        <v>244</v>
      </c>
      <c r="D54" s="342" t="s">
        <v>247</v>
      </c>
      <c r="E54" s="343">
        <v>743620</v>
      </c>
    </row>
    <row r="55" spans="1:5" x14ac:dyDescent="0.25">
      <c r="A55" s="340" t="s">
        <v>210</v>
      </c>
      <c r="B55" s="341" t="s">
        <v>520</v>
      </c>
      <c r="C55" s="342" t="s">
        <v>244</v>
      </c>
      <c r="D55" s="342" t="s">
        <v>245</v>
      </c>
      <c r="E55" s="343">
        <v>39440</v>
      </c>
    </row>
    <row r="56" spans="1:5" x14ac:dyDescent="0.25">
      <c r="A56" s="340" t="s">
        <v>210</v>
      </c>
      <c r="B56" s="341" t="s">
        <v>520</v>
      </c>
      <c r="C56" s="342" t="s">
        <v>244</v>
      </c>
      <c r="D56" s="342" t="s">
        <v>521</v>
      </c>
      <c r="E56" s="343">
        <v>80515</v>
      </c>
    </row>
    <row r="57" spans="1:5" x14ac:dyDescent="0.25">
      <c r="A57" s="340" t="s">
        <v>210</v>
      </c>
      <c r="B57" s="341">
        <v>43621</v>
      </c>
      <c r="C57" s="342" t="s">
        <v>244</v>
      </c>
      <c r="D57" s="342" t="s">
        <v>245</v>
      </c>
      <c r="E57" s="343">
        <v>67410</v>
      </c>
    </row>
    <row r="58" spans="1:5" x14ac:dyDescent="0.25">
      <c r="A58" s="340" t="s">
        <v>210</v>
      </c>
      <c r="B58" s="341">
        <v>43621</v>
      </c>
      <c r="C58" s="342" t="s">
        <v>244</v>
      </c>
      <c r="D58" s="342" t="s">
        <v>247</v>
      </c>
      <c r="E58" s="343">
        <v>108750</v>
      </c>
    </row>
    <row r="59" spans="1:5" ht="15.75" thickBot="1" x14ac:dyDescent="0.3">
      <c r="A59" s="340" t="s">
        <v>210</v>
      </c>
      <c r="B59" s="341">
        <v>43621</v>
      </c>
      <c r="C59" s="342" t="s">
        <v>244</v>
      </c>
      <c r="D59" s="342" t="s">
        <v>247</v>
      </c>
      <c r="E59" s="344">
        <v>867105</v>
      </c>
    </row>
    <row r="60" spans="1:5" ht="15.75" thickBot="1" x14ac:dyDescent="0.3">
      <c r="A60" s="346" t="s">
        <v>522</v>
      </c>
      <c r="B60" s="347"/>
      <c r="C60" s="348"/>
      <c r="D60" s="348"/>
      <c r="E60" s="349">
        <f>ROUND(SUM(E44:E59),5)</f>
        <v>5306480</v>
      </c>
    </row>
    <row r="61" spans="1:5" x14ac:dyDescent="0.25">
      <c r="A61" s="336" t="s">
        <v>115</v>
      </c>
      <c r="B61" s="337"/>
      <c r="C61" s="338"/>
      <c r="D61" s="338"/>
      <c r="E61" s="339"/>
    </row>
    <row r="62" spans="1:5" x14ac:dyDescent="0.25">
      <c r="A62" s="340" t="s">
        <v>210</v>
      </c>
      <c r="B62" s="341">
        <v>43770</v>
      </c>
      <c r="C62" s="342" t="s">
        <v>294</v>
      </c>
      <c r="D62" s="342" t="s">
        <v>295</v>
      </c>
      <c r="E62" s="343">
        <v>1380346</v>
      </c>
    </row>
    <row r="63" spans="1:5" x14ac:dyDescent="0.25">
      <c r="A63" s="340" t="s">
        <v>210</v>
      </c>
      <c r="B63" s="341">
        <v>43648</v>
      </c>
      <c r="C63" s="342" t="s">
        <v>294</v>
      </c>
      <c r="D63" s="342" t="s">
        <v>295</v>
      </c>
      <c r="E63" s="343">
        <v>2771219</v>
      </c>
    </row>
    <row r="64" spans="1:5" x14ac:dyDescent="0.25">
      <c r="A64" s="340" t="s">
        <v>210</v>
      </c>
      <c r="B64" s="341">
        <v>43802</v>
      </c>
      <c r="C64" s="342" t="s">
        <v>294</v>
      </c>
      <c r="D64" s="342" t="s">
        <v>295</v>
      </c>
      <c r="E64" s="343">
        <v>3164111</v>
      </c>
    </row>
    <row r="65" spans="1:5" x14ac:dyDescent="0.25">
      <c r="A65" s="340" t="s">
        <v>210</v>
      </c>
      <c r="B65" s="341">
        <v>43803</v>
      </c>
      <c r="C65" s="342" t="s">
        <v>294</v>
      </c>
      <c r="D65" s="342" t="s">
        <v>295</v>
      </c>
      <c r="E65" s="343">
        <v>2444545</v>
      </c>
    </row>
    <row r="66" spans="1:5" ht="15.75" thickBot="1" x14ac:dyDescent="0.3">
      <c r="A66" s="340" t="s">
        <v>210</v>
      </c>
      <c r="B66" s="341" t="s">
        <v>292</v>
      </c>
      <c r="C66" s="342" t="s">
        <v>294</v>
      </c>
      <c r="D66" s="342" t="s">
        <v>295</v>
      </c>
      <c r="E66" s="344">
        <v>2769736</v>
      </c>
    </row>
    <row r="67" spans="1:5" ht="15.75" thickBot="1" x14ac:dyDescent="0.3">
      <c r="A67" s="346" t="s">
        <v>523</v>
      </c>
      <c r="B67" s="347"/>
      <c r="C67" s="348"/>
      <c r="D67" s="348"/>
      <c r="E67" s="349">
        <f>ROUND(SUM(E61:E66),5)</f>
        <v>12529957</v>
      </c>
    </row>
    <row r="68" spans="1:5" x14ac:dyDescent="0.25">
      <c r="A68" s="336" t="s">
        <v>524</v>
      </c>
      <c r="B68" s="337"/>
      <c r="C68" s="338"/>
      <c r="D68" s="338"/>
      <c r="E68" s="339"/>
    </row>
    <row r="69" spans="1:5" x14ac:dyDescent="0.25">
      <c r="A69" s="340" t="s">
        <v>210</v>
      </c>
      <c r="B69" s="341">
        <v>43770</v>
      </c>
      <c r="C69" s="342" t="s">
        <v>215</v>
      </c>
      <c r="D69" s="342" t="s">
        <v>525</v>
      </c>
      <c r="E69" s="343">
        <v>23257</v>
      </c>
    </row>
    <row r="70" spans="1:5" x14ac:dyDescent="0.25">
      <c r="A70" s="340" t="s">
        <v>210</v>
      </c>
      <c r="B70" s="341">
        <v>43770</v>
      </c>
      <c r="C70" s="342" t="s">
        <v>215</v>
      </c>
      <c r="D70" s="342" t="s">
        <v>525</v>
      </c>
      <c r="E70" s="343">
        <v>18035</v>
      </c>
    </row>
    <row r="71" spans="1:5" x14ac:dyDescent="0.25">
      <c r="A71" s="340" t="s">
        <v>210</v>
      </c>
      <c r="B71" s="341" t="s">
        <v>511</v>
      </c>
      <c r="C71" s="342" t="s">
        <v>215</v>
      </c>
      <c r="D71" s="342" t="s">
        <v>526</v>
      </c>
      <c r="E71" s="343">
        <v>21990</v>
      </c>
    </row>
    <row r="72" spans="1:5" x14ac:dyDescent="0.25">
      <c r="A72" s="340" t="s">
        <v>210</v>
      </c>
      <c r="B72" s="341">
        <v>43679</v>
      </c>
      <c r="C72" s="342" t="s">
        <v>215</v>
      </c>
      <c r="D72" s="342" t="s">
        <v>526</v>
      </c>
      <c r="E72" s="343">
        <v>21990</v>
      </c>
    </row>
    <row r="73" spans="1:5" x14ac:dyDescent="0.25">
      <c r="A73" s="340" t="s">
        <v>210</v>
      </c>
      <c r="B73" s="341">
        <v>43679</v>
      </c>
      <c r="C73" s="342" t="s">
        <v>215</v>
      </c>
      <c r="D73" s="342" t="s">
        <v>525</v>
      </c>
      <c r="E73" s="343">
        <v>18648</v>
      </c>
    </row>
    <row r="74" spans="1:5" x14ac:dyDescent="0.25">
      <c r="A74" s="340" t="s">
        <v>210</v>
      </c>
      <c r="B74" s="341">
        <v>43679</v>
      </c>
      <c r="C74" s="342" t="s">
        <v>215</v>
      </c>
      <c r="D74" s="342" t="s">
        <v>525</v>
      </c>
      <c r="E74" s="343">
        <v>18111</v>
      </c>
    </row>
    <row r="75" spans="1:5" x14ac:dyDescent="0.25">
      <c r="A75" s="340" t="s">
        <v>210</v>
      </c>
      <c r="B75" s="341">
        <v>43469</v>
      </c>
      <c r="C75" s="342" t="s">
        <v>215</v>
      </c>
      <c r="D75" s="342" t="s">
        <v>527</v>
      </c>
      <c r="E75" s="343">
        <v>22062.6</v>
      </c>
    </row>
    <row r="76" spans="1:5" x14ac:dyDescent="0.25">
      <c r="A76" s="340" t="s">
        <v>210</v>
      </c>
      <c r="B76" s="341">
        <v>43469</v>
      </c>
      <c r="C76" s="342" t="s">
        <v>215</v>
      </c>
      <c r="D76" s="342" t="s">
        <v>528</v>
      </c>
      <c r="E76" s="343">
        <v>18159.400000000001</v>
      </c>
    </row>
    <row r="77" spans="1:5" x14ac:dyDescent="0.25">
      <c r="A77" s="340" t="s">
        <v>210</v>
      </c>
      <c r="B77" s="341">
        <v>43528</v>
      </c>
      <c r="C77" s="342" t="s">
        <v>215</v>
      </c>
      <c r="D77" s="342" t="s">
        <v>219</v>
      </c>
      <c r="E77" s="343">
        <v>15784</v>
      </c>
    </row>
    <row r="78" spans="1:5" x14ac:dyDescent="0.25">
      <c r="A78" s="340" t="s">
        <v>210</v>
      </c>
      <c r="B78" s="341">
        <v>43528</v>
      </c>
      <c r="C78" s="342" t="s">
        <v>215</v>
      </c>
      <c r="D78" s="342" t="s">
        <v>219</v>
      </c>
      <c r="E78" s="343">
        <v>18776</v>
      </c>
    </row>
    <row r="79" spans="1:5" x14ac:dyDescent="0.25">
      <c r="A79" s="340" t="s">
        <v>210</v>
      </c>
      <c r="B79" s="341">
        <v>43501</v>
      </c>
      <c r="C79" s="342" t="s">
        <v>215</v>
      </c>
      <c r="D79" s="342" t="s">
        <v>389</v>
      </c>
      <c r="E79" s="343">
        <v>19910.79</v>
      </c>
    </row>
    <row r="80" spans="1:5" x14ac:dyDescent="0.25">
      <c r="A80" s="340" t="s">
        <v>210</v>
      </c>
      <c r="B80" s="341">
        <v>43501</v>
      </c>
      <c r="C80" s="342" t="s">
        <v>215</v>
      </c>
      <c r="D80" s="342" t="s">
        <v>216</v>
      </c>
      <c r="E80" s="343">
        <v>23090</v>
      </c>
    </row>
    <row r="81" spans="1:5" x14ac:dyDescent="0.25">
      <c r="A81" s="340" t="s">
        <v>210</v>
      </c>
      <c r="B81" s="341">
        <v>43501</v>
      </c>
      <c r="C81" s="342" t="s">
        <v>215</v>
      </c>
      <c r="D81" s="342" t="s">
        <v>216</v>
      </c>
      <c r="E81" s="343">
        <v>23090</v>
      </c>
    </row>
    <row r="82" spans="1:5" x14ac:dyDescent="0.25">
      <c r="A82" s="340" t="s">
        <v>210</v>
      </c>
      <c r="B82" s="341">
        <v>43501</v>
      </c>
      <c r="C82" s="342" t="s">
        <v>215</v>
      </c>
      <c r="D82" s="342" t="s">
        <v>219</v>
      </c>
      <c r="E82" s="343">
        <v>20168</v>
      </c>
    </row>
    <row r="83" spans="1:5" ht="15.75" thickBot="1" x14ac:dyDescent="0.3">
      <c r="A83" s="340" t="s">
        <v>210</v>
      </c>
      <c r="B83" s="341">
        <v>43501</v>
      </c>
      <c r="C83" s="342" t="s">
        <v>215</v>
      </c>
      <c r="D83" s="342" t="s">
        <v>219</v>
      </c>
      <c r="E83" s="343">
        <v>11265</v>
      </c>
    </row>
    <row r="84" spans="1:5" ht="15.75" thickBot="1" x14ac:dyDescent="0.3">
      <c r="A84" s="346" t="s">
        <v>529</v>
      </c>
      <c r="B84" s="347"/>
      <c r="C84" s="348"/>
      <c r="D84" s="348"/>
      <c r="E84" s="349">
        <f>ROUND(SUM(E68:E83),5)</f>
        <v>294336.78999999998</v>
      </c>
    </row>
    <row r="85" spans="1:5" x14ac:dyDescent="0.25">
      <c r="A85" s="340" t="s">
        <v>117</v>
      </c>
      <c r="B85" s="341"/>
      <c r="C85" s="342"/>
      <c r="D85" s="342"/>
      <c r="E85" s="343">
        <f>ROUND(E43+E60+E67+E84,5)</f>
        <v>18149773.789999999</v>
      </c>
    </row>
    <row r="86" spans="1:5" x14ac:dyDescent="0.25">
      <c r="A86" s="336" t="s">
        <v>118</v>
      </c>
      <c r="B86" s="337"/>
      <c r="C86" s="338"/>
      <c r="D86" s="338"/>
      <c r="E86" s="339"/>
    </row>
    <row r="87" spans="1:5" x14ac:dyDescent="0.25">
      <c r="A87" s="340" t="s">
        <v>478</v>
      </c>
      <c r="B87" s="341" t="s">
        <v>491</v>
      </c>
      <c r="C87" s="342" t="s">
        <v>212</v>
      </c>
      <c r="D87" s="342" t="s">
        <v>368</v>
      </c>
      <c r="E87" s="343">
        <v>739200</v>
      </c>
    </row>
    <row r="88" spans="1:5" x14ac:dyDescent="0.25">
      <c r="A88" s="340" t="s">
        <v>478</v>
      </c>
      <c r="B88" s="341" t="s">
        <v>530</v>
      </c>
      <c r="C88" s="342" t="s">
        <v>212</v>
      </c>
      <c r="D88" s="342" t="s">
        <v>363</v>
      </c>
      <c r="E88" s="343">
        <v>723600</v>
      </c>
    </row>
    <row r="89" spans="1:5" x14ac:dyDescent="0.25">
      <c r="A89" s="340" t="s">
        <v>478</v>
      </c>
      <c r="B89" s="341" t="s">
        <v>531</v>
      </c>
      <c r="C89" s="342" t="s">
        <v>212</v>
      </c>
      <c r="D89" s="342" t="s">
        <v>532</v>
      </c>
      <c r="E89" s="343">
        <v>726000</v>
      </c>
    </row>
    <row r="90" spans="1:5" x14ac:dyDescent="0.25">
      <c r="A90" s="340" t="s">
        <v>478</v>
      </c>
      <c r="B90" s="341" t="s">
        <v>533</v>
      </c>
      <c r="C90" s="342" t="s">
        <v>212</v>
      </c>
      <c r="D90" s="342" t="s">
        <v>534</v>
      </c>
      <c r="E90" s="343">
        <v>723600</v>
      </c>
    </row>
    <row r="91" spans="1:5" ht="15.75" thickBot="1" x14ac:dyDescent="0.3">
      <c r="A91" s="340" t="s">
        <v>478</v>
      </c>
      <c r="B91" s="341" t="s">
        <v>535</v>
      </c>
      <c r="C91" s="342" t="s">
        <v>212</v>
      </c>
      <c r="D91" s="342" t="s">
        <v>536</v>
      </c>
      <c r="E91" s="344">
        <v>720000</v>
      </c>
    </row>
    <row r="92" spans="1:5" ht="15.75" thickBot="1" x14ac:dyDescent="0.3">
      <c r="A92" s="346" t="s">
        <v>537</v>
      </c>
      <c r="B92" s="347"/>
      <c r="C92" s="348"/>
      <c r="D92" s="348"/>
      <c r="E92" s="349">
        <f>ROUND(SUM(E86:E91),5)</f>
        <v>3632400</v>
      </c>
    </row>
    <row r="93" spans="1:5" x14ac:dyDescent="0.25">
      <c r="A93" s="336" t="s">
        <v>119</v>
      </c>
      <c r="B93" s="337"/>
      <c r="C93" s="338"/>
      <c r="D93" s="338"/>
      <c r="E93" s="339"/>
    </row>
    <row r="94" spans="1:5" x14ac:dyDescent="0.25">
      <c r="A94" s="336" t="s">
        <v>120</v>
      </c>
      <c r="B94" s="337"/>
      <c r="C94" s="338"/>
      <c r="D94" s="338"/>
      <c r="E94" s="339"/>
    </row>
    <row r="95" spans="1:5" x14ac:dyDescent="0.25">
      <c r="A95" s="340" t="s">
        <v>478</v>
      </c>
      <c r="B95" s="341" t="s">
        <v>491</v>
      </c>
      <c r="C95" s="342" t="s">
        <v>355</v>
      </c>
      <c r="D95" s="342" t="s">
        <v>357</v>
      </c>
      <c r="E95" s="343">
        <v>97920</v>
      </c>
    </row>
    <row r="96" spans="1:5" x14ac:dyDescent="0.25">
      <c r="A96" s="340" t="s">
        <v>478</v>
      </c>
      <c r="B96" s="341">
        <v>43771</v>
      </c>
      <c r="C96" s="342" t="s">
        <v>355</v>
      </c>
      <c r="D96" s="342" t="s">
        <v>354</v>
      </c>
      <c r="E96" s="343">
        <v>97600</v>
      </c>
    </row>
    <row r="97" spans="1:5" x14ac:dyDescent="0.25">
      <c r="A97" s="340" t="s">
        <v>478</v>
      </c>
      <c r="B97" s="341">
        <v>43772</v>
      </c>
      <c r="C97" s="342" t="s">
        <v>355</v>
      </c>
      <c r="D97" s="342" t="s">
        <v>538</v>
      </c>
      <c r="E97" s="343">
        <v>96712</v>
      </c>
    </row>
    <row r="98" spans="1:5" x14ac:dyDescent="0.25">
      <c r="A98" s="340" t="s">
        <v>478</v>
      </c>
      <c r="B98" s="341">
        <v>43712</v>
      </c>
      <c r="C98" s="342" t="s">
        <v>355</v>
      </c>
      <c r="D98" s="342" t="s">
        <v>539</v>
      </c>
      <c r="E98" s="343">
        <v>96000</v>
      </c>
    </row>
    <row r="99" spans="1:5" ht="15.75" thickBot="1" x14ac:dyDescent="0.3">
      <c r="A99" s="340" t="s">
        <v>478</v>
      </c>
      <c r="B99" s="341">
        <v>43743</v>
      </c>
      <c r="C99" s="342" t="s">
        <v>355</v>
      </c>
      <c r="D99" s="342" t="s">
        <v>540</v>
      </c>
      <c r="E99" s="344">
        <v>94080</v>
      </c>
    </row>
    <row r="100" spans="1:5" ht="15.75" thickBot="1" x14ac:dyDescent="0.3">
      <c r="A100" s="346" t="s">
        <v>541</v>
      </c>
      <c r="B100" s="347"/>
      <c r="C100" s="348"/>
      <c r="D100" s="348"/>
      <c r="E100" s="349">
        <f>ROUND(SUM(E94:E99),5)</f>
        <v>482312</v>
      </c>
    </row>
    <row r="101" spans="1:5" x14ac:dyDescent="0.25">
      <c r="A101" s="336" t="s">
        <v>121</v>
      </c>
      <c r="B101" s="337"/>
      <c r="C101" s="338"/>
      <c r="D101" s="338"/>
      <c r="E101" s="339"/>
    </row>
    <row r="102" spans="1:5" x14ac:dyDescent="0.25">
      <c r="A102" s="340" t="s">
        <v>478</v>
      </c>
      <c r="B102" s="341" t="s">
        <v>491</v>
      </c>
      <c r="C102" s="342" t="s">
        <v>366</v>
      </c>
      <c r="D102" s="342" t="s">
        <v>542</v>
      </c>
      <c r="E102" s="343">
        <v>257040</v>
      </c>
    </row>
    <row r="103" spans="1:5" x14ac:dyDescent="0.25">
      <c r="A103" s="340" t="s">
        <v>478</v>
      </c>
      <c r="B103" s="341">
        <v>43771</v>
      </c>
      <c r="C103" s="342" t="s">
        <v>366</v>
      </c>
      <c r="D103" s="342" t="s">
        <v>543</v>
      </c>
      <c r="E103" s="343">
        <v>259140</v>
      </c>
    </row>
    <row r="104" spans="1:5" x14ac:dyDescent="0.25">
      <c r="A104" s="340" t="s">
        <v>478</v>
      </c>
      <c r="B104" s="341">
        <v>43802</v>
      </c>
      <c r="C104" s="342" t="s">
        <v>366</v>
      </c>
      <c r="D104" s="342" t="s">
        <v>544</v>
      </c>
      <c r="E104" s="343">
        <v>257460</v>
      </c>
    </row>
    <row r="105" spans="1:5" x14ac:dyDescent="0.25">
      <c r="A105" s="340" t="s">
        <v>478</v>
      </c>
      <c r="B105" s="341">
        <v>43712</v>
      </c>
      <c r="C105" s="342" t="s">
        <v>366</v>
      </c>
      <c r="D105" s="342" t="s">
        <v>545</v>
      </c>
      <c r="E105" s="343">
        <v>254520</v>
      </c>
    </row>
    <row r="106" spans="1:5" ht="15.75" thickBot="1" x14ac:dyDescent="0.3">
      <c r="A106" s="340" t="s">
        <v>478</v>
      </c>
      <c r="B106" s="341">
        <v>43743</v>
      </c>
      <c r="C106" s="342" t="s">
        <v>366</v>
      </c>
      <c r="D106" s="342" t="s">
        <v>546</v>
      </c>
      <c r="E106" s="344">
        <v>253260</v>
      </c>
    </row>
    <row r="107" spans="1:5" ht="15.75" thickBot="1" x14ac:dyDescent="0.3">
      <c r="A107" s="346" t="s">
        <v>547</v>
      </c>
      <c r="B107" s="347"/>
      <c r="C107" s="348"/>
      <c r="D107" s="348"/>
      <c r="E107" s="349">
        <f>ROUND(SUM(E101:E106),5)</f>
        <v>1281420</v>
      </c>
    </row>
    <row r="108" spans="1:5" x14ac:dyDescent="0.25">
      <c r="A108" s="336" t="s">
        <v>122</v>
      </c>
      <c r="B108" s="337"/>
      <c r="C108" s="338"/>
      <c r="D108" s="338"/>
      <c r="E108" s="339"/>
    </row>
    <row r="109" spans="1:5" x14ac:dyDescent="0.25">
      <c r="A109" s="340" t="s">
        <v>478</v>
      </c>
      <c r="B109" s="341" t="s">
        <v>491</v>
      </c>
      <c r="C109" s="342" t="s">
        <v>352</v>
      </c>
      <c r="D109" s="342" t="s">
        <v>361</v>
      </c>
      <c r="E109" s="343">
        <v>91800</v>
      </c>
    </row>
    <row r="110" spans="1:5" x14ac:dyDescent="0.25">
      <c r="A110" s="340" t="s">
        <v>478</v>
      </c>
      <c r="B110" s="341">
        <v>43771</v>
      </c>
      <c r="C110" s="342" t="s">
        <v>352</v>
      </c>
      <c r="D110" s="342" t="s">
        <v>359</v>
      </c>
      <c r="E110" s="343">
        <v>91500</v>
      </c>
    </row>
    <row r="111" spans="1:5" x14ac:dyDescent="0.25">
      <c r="A111" s="340" t="s">
        <v>478</v>
      </c>
      <c r="B111" s="341">
        <v>43772</v>
      </c>
      <c r="C111" s="342" t="s">
        <v>352</v>
      </c>
      <c r="D111" s="342" t="s">
        <v>548</v>
      </c>
      <c r="E111" s="343">
        <v>90667.5</v>
      </c>
    </row>
    <row r="112" spans="1:5" x14ac:dyDescent="0.25">
      <c r="A112" s="340" t="s">
        <v>478</v>
      </c>
      <c r="B112" s="341">
        <v>43712</v>
      </c>
      <c r="C112" s="342" t="s">
        <v>352</v>
      </c>
      <c r="D112" s="342" t="s">
        <v>549</v>
      </c>
      <c r="E112" s="343">
        <v>90000</v>
      </c>
    </row>
    <row r="113" spans="1:5" ht="15.75" thickBot="1" x14ac:dyDescent="0.3">
      <c r="A113" s="340" t="s">
        <v>478</v>
      </c>
      <c r="B113" s="341">
        <v>43743</v>
      </c>
      <c r="C113" s="342" t="s">
        <v>352</v>
      </c>
      <c r="D113" s="342" t="s">
        <v>550</v>
      </c>
      <c r="E113" s="343">
        <v>88200</v>
      </c>
    </row>
    <row r="114" spans="1:5" ht="15.75" thickBot="1" x14ac:dyDescent="0.3">
      <c r="A114" s="346" t="s">
        <v>551</v>
      </c>
      <c r="B114" s="347"/>
      <c r="C114" s="348"/>
      <c r="D114" s="348"/>
      <c r="E114" s="349">
        <f>ROUND(SUM(E108:E113),5)</f>
        <v>452167.5</v>
      </c>
    </row>
    <row r="115" spans="1:5" ht="15.75" thickBot="1" x14ac:dyDescent="0.3">
      <c r="A115" s="346" t="s">
        <v>125</v>
      </c>
      <c r="B115" s="347"/>
      <c r="C115" s="348"/>
      <c r="D115" s="348"/>
      <c r="E115" s="349">
        <f>ROUND(E100+E107+E114,5)</f>
        <v>2215899.5</v>
      </c>
    </row>
    <row r="116" spans="1:5" x14ac:dyDescent="0.25">
      <c r="A116" s="336" t="s">
        <v>127</v>
      </c>
      <c r="B116" s="337"/>
      <c r="C116" s="338"/>
      <c r="D116" s="338"/>
      <c r="E116" s="339"/>
    </row>
    <row r="117" spans="1:5" ht="15.75" thickBot="1" x14ac:dyDescent="0.3">
      <c r="A117" s="340" t="s">
        <v>478</v>
      </c>
      <c r="B117" s="341" t="s">
        <v>479</v>
      </c>
      <c r="C117" s="342" t="s">
        <v>201</v>
      </c>
      <c r="D117" s="342" t="s">
        <v>552</v>
      </c>
      <c r="E117" s="343">
        <v>125000</v>
      </c>
    </row>
    <row r="118" spans="1:5" ht="15.75" thickBot="1" x14ac:dyDescent="0.3">
      <c r="A118" s="346" t="s">
        <v>553</v>
      </c>
      <c r="B118" s="347"/>
      <c r="C118" s="348"/>
      <c r="D118" s="348"/>
      <c r="E118" s="349">
        <f>ROUND(SUM(E116:E117),5)</f>
        <v>125000</v>
      </c>
    </row>
    <row r="119" spans="1:5" ht="15.75" thickBot="1" x14ac:dyDescent="0.3">
      <c r="A119" s="346" t="s">
        <v>128</v>
      </c>
      <c r="B119" s="347"/>
      <c r="C119" s="348"/>
      <c r="D119" s="348"/>
      <c r="E119" s="349">
        <f>ROUND(E16+E28+E36+E85+E92+E115+E118,5)</f>
        <v>45642006.990000002</v>
      </c>
    </row>
    <row r="120" spans="1:5" x14ac:dyDescent="0.25">
      <c r="A120" s="336" t="s">
        <v>129</v>
      </c>
      <c r="B120" s="337"/>
      <c r="C120" s="338"/>
      <c r="D120" s="338"/>
      <c r="E120" s="339"/>
    </row>
    <row r="121" spans="1:5" x14ac:dyDescent="0.25">
      <c r="A121" s="336" t="s">
        <v>132</v>
      </c>
      <c r="B121" s="337"/>
      <c r="C121" s="338"/>
      <c r="D121" s="338"/>
      <c r="E121" s="339"/>
    </row>
    <row r="122" spans="1:5" x14ac:dyDescent="0.25">
      <c r="A122" s="340" t="s">
        <v>478</v>
      </c>
      <c r="B122" s="341" t="s">
        <v>479</v>
      </c>
      <c r="C122" s="342" t="s">
        <v>208</v>
      </c>
      <c r="D122" s="342" t="s">
        <v>554</v>
      </c>
      <c r="E122" s="343">
        <v>29188.959999999999</v>
      </c>
    </row>
    <row r="123" spans="1:5" x14ac:dyDescent="0.25">
      <c r="A123" s="340" t="s">
        <v>478</v>
      </c>
      <c r="B123" s="341" t="s">
        <v>479</v>
      </c>
      <c r="C123" s="342" t="s">
        <v>555</v>
      </c>
      <c r="D123" s="342" t="s">
        <v>556</v>
      </c>
      <c r="E123" s="343">
        <v>35000</v>
      </c>
    </row>
    <row r="124" spans="1:5" x14ac:dyDescent="0.25">
      <c r="A124" s="340" t="s">
        <v>478</v>
      </c>
      <c r="B124" s="341" t="s">
        <v>479</v>
      </c>
      <c r="C124" s="342" t="s">
        <v>197</v>
      </c>
      <c r="D124" s="342" t="s">
        <v>557</v>
      </c>
      <c r="E124" s="343">
        <v>85710.5</v>
      </c>
    </row>
    <row r="125" spans="1:5" x14ac:dyDescent="0.25">
      <c r="A125" s="340" t="s">
        <v>478</v>
      </c>
      <c r="B125" s="341" t="s">
        <v>479</v>
      </c>
      <c r="C125" s="342" t="s">
        <v>197</v>
      </c>
      <c r="D125" s="342" t="s">
        <v>558</v>
      </c>
      <c r="E125" s="343">
        <v>114389.3</v>
      </c>
    </row>
    <row r="126" spans="1:5" x14ac:dyDescent="0.25">
      <c r="A126" s="340" t="s">
        <v>478</v>
      </c>
      <c r="B126" s="341">
        <v>43771</v>
      </c>
      <c r="C126" s="342" t="s">
        <v>297</v>
      </c>
      <c r="D126" s="342" t="s">
        <v>298</v>
      </c>
      <c r="E126" s="343">
        <v>120000</v>
      </c>
    </row>
    <row r="127" spans="1:5" x14ac:dyDescent="0.25">
      <c r="A127" s="340" t="s">
        <v>478</v>
      </c>
      <c r="B127" s="341" t="s">
        <v>559</v>
      </c>
      <c r="C127" s="342" t="s">
        <v>197</v>
      </c>
      <c r="D127" s="342" t="s">
        <v>560</v>
      </c>
      <c r="E127" s="343">
        <v>140788</v>
      </c>
    </row>
    <row r="128" spans="1:5" x14ac:dyDescent="0.25">
      <c r="A128" s="340" t="s">
        <v>478</v>
      </c>
      <c r="B128" s="341">
        <v>43772</v>
      </c>
      <c r="C128" s="342" t="s">
        <v>208</v>
      </c>
      <c r="D128" s="342" t="s">
        <v>561</v>
      </c>
      <c r="E128" s="343">
        <v>8322.6200000000008</v>
      </c>
    </row>
    <row r="129" spans="1:5" x14ac:dyDescent="0.25">
      <c r="A129" s="340" t="s">
        <v>478</v>
      </c>
      <c r="B129" s="341">
        <v>43802</v>
      </c>
      <c r="C129" s="342" t="s">
        <v>212</v>
      </c>
      <c r="D129" s="342" t="s">
        <v>562</v>
      </c>
      <c r="E129" s="343">
        <v>43179</v>
      </c>
    </row>
    <row r="130" spans="1:5" x14ac:dyDescent="0.25">
      <c r="A130" s="340" t="s">
        <v>478</v>
      </c>
      <c r="B130" s="341" t="s">
        <v>563</v>
      </c>
      <c r="C130" s="342" t="s">
        <v>208</v>
      </c>
      <c r="D130" s="342" t="s">
        <v>564</v>
      </c>
      <c r="E130" s="343">
        <v>16466.849999999999</v>
      </c>
    </row>
    <row r="131" spans="1:5" x14ac:dyDescent="0.25">
      <c r="A131" s="340" t="s">
        <v>478</v>
      </c>
      <c r="B131" s="341" t="s">
        <v>563</v>
      </c>
      <c r="C131" s="342" t="s">
        <v>297</v>
      </c>
      <c r="D131" s="342" t="s">
        <v>565</v>
      </c>
      <c r="E131" s="343">
        <v>80000</v>
      </c>
    </row>
    <row r="132" spans="1:5" x14ac:dyDescent="0.25">
      <c r="A132" s="340" t="s">
        <v>478</v>
      </c>
      <c r="B132" s="341" t="s">
        <v>563</v>
      </c>
      <c r="C132" s="342" t="s">
        <v>566</v>
      </c>
      <c r="D132" s="342" t="s">
        <v>567</v>
      </c>
      <c r="E132" s="343">
        <v>26837.5</v>
      </c>
    </row>
    <row r="133" spans="1:5" x14ac:dyDescent="0.25">
      <c r="A133" s="340" t="s">
        <v>478</v>
      </c>
      <c r="B133" s="341">
        <v>43469</v>
      </c>
      <c r="C133" s="342" t="s">
        <v>208</v>
      </c>
      <c r="D133" s="342" t="s">
        <v>311</v>
      </c>
      <c r="E133" s="343">
        <v>39717.01</v>
      </c>
    </row>
    <row r="134" spans="1:5" x14ac:dyDescent="0.25">
      <c r="A134" s="340" t="s">
        <v>478</v>
      </c>
      <c r="B134" s="341">
        <v>43712</v>
      </c>
      <c r="C134" s="342" t="s">
        <v>192</v>
      </c>
      <c r="D134" s="342" t="s">
        <v>568</v>
      </c>
      <c r="E134" s="343">
        <v>6089.57</v>
      </c>
    </row>
    <row r="135" spans="1:5" ht="15.75" thickBot="1" x14ac:dyDescent="0.3">
      <c r="A135" s="350" t="s">
        <v>478</v>
      </c>
      <c r="B135" s="351" t="s">
        <v>505</v>
      </c>
      <c r="C135" s="352" t="s">
        <v>297</v>
      </c>
      <c r="D135" s="352" t="s">
        <v>569</v>
      </c>
      <c r="E135" s="344">
        <v>65000</v>
      </c>
    </row>
    <row r="136" spans="1:5" x14ac:dyDescent="0.25">
      <c r="A136" s="340" t="s">
        <v>478</v>
      </c>
      <c r="B136" s="341" t="s">
        <v>505</v>
      </c>
      <c r="C136" s="342" t="s">
        <v>197</v>
      </c>
      <c r="D136" s="342" t="s">
        <v>570</v>
      </c>
      <c r="E136" s="343">
        <v>238471.5</v>
      </c>
    </row>
    <row r="137" spans="1:5" x14ac:dyDescent="0.25">
      <c r="A137" s="340" t="s">
        <v>478</v>
      </c>
      <c r="B137" s="341" t="s">
        <v>505</v>
      </c>
      <c r="C137" s="342" t="s">
        <v>208</v>
      </c>
      <c r="D137" s="342" t="s">
        <v>307</v>
      </c>
      <c r="E137" s="343">
        <v>29619.01</v>
      </c>
    </row>
    <row r="138" spans="1:5" x14ac:dyDescent="0.25">
      <c r="A138" s="340" t="s">
        <v>478</v>
      </c>
      <c r="B138" s="341" t="s">
        <v>505</v>
      </c>
      <c r="C138" s="342" t="s">
        <v>302</v>
      </c>
      <c r="D138" s="342" t="s">
        <v>309</v>
      </c>
      <c r="E138" s="343">
        <v>45000</v>
      </c>
    </row>
    <row r="139" spans="1:5" x14ac:dyDescent="0.25">
      <c r="A139" s="340" t="s">
        <v>478</v>
      </c>
      <c r="B139" s="341" t="s">
        <v>505</v>
      </c>
      <c r="C139" s="342" t="s">
        <v>297</v>
      </c>
      <c r="D139" s="342" t="s">
        <v>571</v>
      </c>
      <c r="E139" s="343">
        <v>60000</v>
      </c>
    </row>
    <row r="140" spans="1:5" x14ac:dyDescent="0.25">
      <c r="A140" s="340" t="s">
        <v>478</v>
      </c>
      <c r="B140" s="341" t="s">
        <v>505</v>
      </c>
      <c r="C140" s="342" t="s">
        <v>208</v>
      </c>
      <c r="D140" s="342" t="s">
        <v>305</v>
      </c>
      <c r="E140" s="343">
        <v>58905.67</v>
      </c>
    </row>
    <row r="141" spans="1:5" ht="15.75" thickBot="1" x14ac:dyDescent="0.3">
      <c r="A141" s="340" t="s">
        <v>478</v>
      </c>
      <c r="B141" s="341" t="s">
        <v>572</v>
      </c>
      <c r="C141" s="342" t="s">
        <v>208</v>
      </c>
      <c r="D141" s="342" t="s">
        <v>573</v>
      </c>
      <c r="E141" s="344">
        <v>38956.53</v>
      </c>
    </row>
    <row r="142" spans="1:5" ht="15.75" thickBot="1" x14ac:dyDescent="0.3">
      <c r="A142" s="346" t="s">
        <v>574</v>
      </c>
      <c r="B142" s="347"/>
      <c r="C142" s="348"/>
      <c r="D142" s="348"/>
      <c r="E142" s="349">
        <f>ROUND(SUM(E121:E141),5)</f>
        <v>1281642.02</v>
      </c>
    </row>
    <row r="143" spans="1:5" x14ac:dyDescent="0.25">
      <c r="A143" s="336" t="s">
        <v>133</v>
      </c>
      <c r="B143" s="337"/>
      <c r="C143" s="338"/>
      <c r="D143" s="338"/>
      <c r="E143" s="339"/>
    </row>
    <row r="144" spans="1:5" x14ac:dyDescent="0.25">
      <c r="A144" s="340" t="s">
        <v>478</v>
      </c>
      <c r="B144" s="341" t="s">
        <v>479</v>
      </c>
      <c r="C144" s="342" t="s">
        <v>352</v>
      </c>
      <c r="D144" s="342" t="s">
        <v>575</v>
      </c>
      <c r="E144" s="343">
        <v>500000</v>
      </c>
    </row>
    <row r="145" spans="1:5" x14ac:dyDescent="0.25">
      <c r="A145" s="340" t="s">
        <v>210</v>
      </c>
      <c r="B145" s="341" t="s">
        <v>576</v>
      </c>
      <c r="C145" s="342" t="s">
        <v>352</v>
      </c>
      <c r="D145" s="342" t="s">
        <v>577</v>
      </c>
      <c r="E145" s="343">
        <v>354000</v>
      </c>
    </row>
    <row r="146" spans="1:5" x14ac:dyDescent="0.25">
      <c r="A146" s="340" t="s">
        <v>478</v>
      </c>
      <c r="B146" s="341">
        <v>43712</v>
      </c>
      <c r="C146" s="342" t="s">
        <v>297</v>
      </c>
      <c r="D146" s="342" t="s">
        <v>578</v>
      </c>
      <c r="E146" s="343">
        <v>45000</v>
      </c>
    </row>
    <row r="147" spans="1:5" ht="15.75" thickBot="1" x14ac:dyDescent="0.3">
      <c r="A147" s="340" t="s">
        <v>478</v>
      </c>
      <c r="B147" s="341" t="s">
        <v>579</v>
      </c>
      <c r="C147" s="342" t="s">
        <v>355</v>
      </c>
      <c r="D147" s="342" t="s">
        <v>580</v>
      </c>
      <c r="E147" s="344">
        <v>81627.81</v>
      </c>
    </row>
    <row r="148" spans="1:5" ht="15.75" thickBot="1" x14ac:dyDescent="0.3">
      <c r="A148" s="346" t="s">
        <v>581</v>
      </c>
      <c r="B148" s="347"/>
      <c r="C148" s="348"/>
      <c r="D148" s="348"/>
      <c r="E148" s="349">
        <f>ROUND(SUM(E143:E147),5)</f>
        <v>980627.81</v>
      </c>
    </row>
    <row r="149" spans="1:5" x14ac:dyDescent="0.25">
      <c r="A149" s="336" t="s">
        <v>134</v>
      </c>
      <c r="B149" s="337"/>
      <c r="C149" s="338"/>
      <c r="D149" s="338"/>
      <c r="E149" s="339"/>
    </row>
    <row r="150" spans="1:5" ht="15.75" thickBot="1" x14ac:dyDescent="0.3">
      <c r="A150" s="340" t="s">
        <v>478</v>
      </c>
      <c r="B150" s="341">
        <v>43772</v>
      </c>
      <c r="C150" s="342" t="s">
        <v>192</v>
      </c>
      <c r="D150" s="342" t="s">
        <v>582</v>
      </c>
      <c r="E150" s="344">
        <v>40000</v>
      </c>
    </row>
    <row r="151" spans="1:5" ht="15.75" thickBot="1" x14ac:dyDescent="0.3">
      <c r="A151" s="346" t="s">
        <v>583</v>
      </c>
      <c r="B151" s="347"/>
      <c r="C151" s="348"/>
      <c r="D151" s="348"/>
      <c r="E151" s="349">
        <f>ROUND(SUM(E149:E150),5)</f>
        <v>40000</v>
      </c>
    </row>
    <row r="152" spans="1:5" x14ac:dyDescent="0.25">
      <c r="A152" s="336" t="s">
        <v>135</v>
      </c>
      <c r="B152" s="337"/>
      <c r="C152" s="338"/>
      <c r="D152" s="338"/>
      <c r="E152" s="339"/>
    </row>
    <row r="153" spans="1:5" x14ac:dyDescent="0.25">
      <c r="A153" s="340" t="s">
        <v>478</v>
      </c>
      <c r="B153" s="341" t="s">
        <v>479</v>
      </c>
      <c r="C153" s="342" t="s">
        <v>584</v>
      </c>
      <c r="D153" s="342" t="s">
        <v>585</v>
      </c>
      <c r="E153" s="343">
        <v>251780.05</v>
      </c>
    </row>
    <row r="154" spans="1:5" x14ac:dyDescent="0.25">
      <c r="A154" s="340" t="s">
        <v>478</v>
      </c>
      <c r="B154" s="341" t="s">
        <v>559</v>
      </c>
      <c r="C154" s="342" t="s">
        <v>584</v>
      </c>
      <c r="D154" s="342" t="s">
        <v>586</v>
      </c>
      <c r="E154" s="343">
        <v>24000</v>
      </c>
    </row>
    <row r="155" spans="1:5" x14ac:dyDescent="0.25">
      <c r="A155" s="340" t="s">
        <v>478</v>
      </c>
      <c r="B155" s="341" t="s">
        <v>563</v>
      </c>
      <c r="C155" s="342" t="s">
        <v>584</v>
      </c>
      <c r="D155" s="342" t="s">
        <v>587</v>
      </c>
      <c r="E155" s="343">
        <v>45000</v>
      </c>
    </row>
    <row r="156" spans="1:5" x14ac:dyDescent="0.25">
      <c r="A156" s="340" t="s">
        <v>478</v>
      </c>
      <c r="B156" s="341" t="s">
        <v>505</v>
      </c>
      <c r="C156" s="342" t="s">
        <v>584</v>
      </c>
      <c r="D156" s="342" t="s">
        <v>588</v>
      </c>
      <c r="E156" s="343">
        <v>183580.03</v>
      </c>
    </row>
    <row r="157" spans="1:5" x14ac:dyDescent="0.25">
      <c r="A157" s="340" t="s">
        <v>478</v>
      </c>
      <c r="B157" s="341">
        <v>43743</v>
      </c>
      <c r="C157" s="342" t="s">
        <v>584</v>
      </c>
      <c r="D157" s="342" t="s">
        <v>589</v>
      </c>
      <c r="E157" s="343">
        <v>25800</v>
      </c>
    </row>
    <row r="158" spans="1:5" x14ac:dyDescent="0.25">
      <c r="A158" s="340" t="s">
        <v>478</v>
      </c>
      <c r="B158" s="341" t="s">
        <v>579</v>
      </c>
      <c r="C158" s="342" t="s">
        <v>584</v>
      </c>
      <c r="D158" s="342" t="s">
        <v>590</v>
      </c>
      <c r="E158" s="343">
        <v>170000</v>
      </c>
    </row>
    <row r="159" spans="1:5" x14ac:dyDescent="0.25">
      <c r="A159" s="340" t="s">
        <v>478</v>
      </c>
      <c r="B159" s="341" t="s">
        <v>579</v>
      </c>
      <c r="C159" s="342" t="s">
        <v>584</v>
      </c>
      <c r="D159" s="342" t="s">
        <v>591</v>
      </c>
      <c r="E159" s="343">
        <v>45000</v>
      </c>
    </row>
    <row r="160" spans="1:5" ht="15.75" thickBot="1" x14ac:dyDescent="0.3">
      <c r="A160" s="340" t="s">
        <v>478</v>
      </c>
      <c r="B160" s="341" t="s">
        <v>579</v>
      </c>
      <c r="C160" s="342" t="s">
        <v>584</v>
      </c>
      <c r="D160" s="342" t="s">
        <v>592</v>
      </c>
      <c r="E160" s="344">
        <v>64410</v>
      </c>
    </row>
    <row r="161" spans="1:5" ht="15.75" thickBot="1" x14ac:dyDescent="0.3">
      <c r="A161" s="346" t="s">
        <v>593</v>
      </c>
      <c r="B161" s="347"/>
      <c r="C161" s="348"/>
      <c r="D161" s="348"/>
      <c r="E161" s="349">
        <f>ROUND(SUM(E152:E160),5)</f>
        <v>809570.08</v>
      </c>
    </row>
    <row r="162" spans="1:5" x14ac:dyDescent="0.25">
      <c r="A162" s="336" t="s">
        <v>594</v>
      </c>
      <c r="B162" s="337"/>
      <c r="C162" s="338"/>
      <c r="D162" s="338"/>
      <c r="E162" s="339"/>
    </row>
    <row r="163" spans="1:5" x14ac:dyDescent="0.25">
      <c r="A163" s="340" t="s">
        <v>210</v>
      </c>
      <c r="B163" s="341">
        <v>43558</v>
      </c>
      <c r="C163" s="342" t="s">
        <v>595</v>
      </c>
      <c r="D163" s="342" t="s">
        <v>596</v>
      </c>
      <c r="E163" s="343">
        <v>453750</v>
      </c>
    </row>
    <row r="164" spans="1:5" ht="15.75" thickBot="1" x14ac:dyDescent="0.3">
      <c r="A164" s="340" t="s">
        <v>478</v>
      </c>
      <c r="B164" s="341" t="s">
        <v>505</v>
      </c>
      <c r="C164" s="342" t="s">
        <v>366</v>
      </c>
      <c r="D164" s="342" t="s">
        <v>597</v>
      </c>
      <c r="E164" s="344">
        <v>48720</v>
      </c>
    </row>
    <row r="165" spans="1:5" ht="15.75" thickBot="1" x14ac:dyDescent="0.3">
      <c r="A165" s="346" t="s">
        <v>598</v>
      </c>
      <c r="B165" s="347"/>
      <c r="C165" s="348"/>
      <c r="D165" s="348"/>
      <c r="E165" s="349">
        <f>ROUND(SUM(E162:E164),5)</f>
        <v>502470</v>
      </c>
    </row>
    <row r="166" spans="1:5" x14ac:dyDescent="0.25">
      <c r="A166" s="336" t="s">
        <v>599</v>
      </c>
      <c r="B166" s="337"/>
      <c r="C166" s="338"/>
      <c r="D166" s="338"/>
      <c r="E166" s="339"/>
    </row>
    <row r="167" spans="1:5" x14ac:dyDescent="0.25">
      <c r="A167" s="340" t="s">
        <v>478</v>
      </c>
      <c r="B167" s="341" t="s">
        <v>479</v>
      </c>
      <c r="C167" s="342" t="s">
        <v>600</v>
      </c>
      <c r="D167" s="342" t="s">
        <v>601</v>
      </c>
      <c r="E167" s="343">
        <v>105000</v>
      </c>
    </row>
    <row r="168" spans="1:5" ht="15.75" thickBot="1" x14ac:dyDescent="0.3">
      <c r="A168" s="340" t="s">
        <v>478</v>
      </c>
      <c r="B168" s="341">
        <v>43743</v>
      </c>
      <c r="C168" s="342" t="s">
        <v>600</v>
      </c>
      <c r="D168" s="342" t="s">
        <v>602</v>
      </c>
      <c r="E168" s="344">
        <v>48000</v>
      </c>
    </row>
    <row r="169" spans="1:5" ht="15.75" thickBot="1" x14ac:dyDescent="0.3">
      <c r="A169" s="346" t="s">
        <v>603</v>
      </c>
      <c r="B169" s="347"/>
      <c r="C169" s="348"/>
      <c r="D169" s="348"/>
      <c r="E169" s="349">
        <f>ROUND(SUM(E166:E168),5)</f>
        <v>153000</v>
      </c>
    </row>
    <row r="170" spans="1:5" x14ac:dyDescent="0.25">
      <c r="A170" s="336" t="s">
        <v>137</v>
      </c>
      <c r="B170" s="337"/>
      <c r="C170" s="338"/>
      <c r="D170" s="338"/>
      <c r="E170" s="339"/>
    </row>
    <row r="171" spans="1:5" x14ac:dyDescent="0.25">
      <c r="A171" s="340" t="s">
        <v>478</v>
      </c>
      <c r="B171" s="341">
        <v>43771</v>
      </c>
      <c r="C171" s="342" t="s">
        <v>201</v>
      </c>
      <c r="D171" s="342" t="s">
        <v>604</v>
      </c>
      <c r="E171" s="343">
        <v>18700</v>
      </c>
    </row>
    <row r="172" spans="1:5" x14ac:dyDescent="0.25">
      <c r="A172" s="340" t="s">
        <v>478</v>
      </c>
      <c r="B172" s="341">
        <v>43802</v>
      </c>
      <c r="C172" s="342" t="s">
        <v>201</v>
      </c>
      <c r="D172" s="342" t="s">
        <v>605</v>
      </c>
      <c r="E172" s="343">
        <v>37400</v>
      </c>
    </row>
    <row r="173" spans="1:5" x14ac:dyDescent="0.25">
      <c r="A173" s="340" t="s">
        <v>478</v>
      </c>
      <c r="B173" s="341" t="s">
        <v>505</v>
      </c>
      <c r="C173" s="342" t="s">
        <v>201</v>
      </c>
      <c r="D173" s="342" t="s">
        <v>606</v>
      </c>
      <c r="E173" s="343">
        <v>18700</v>
      </c>
    </row>
    <row r="174" spans="1:5" ht="15.75" thickBot="1" x14ac:dyDescent="0.3">
      <c r="A174" s="340" t="s">
        <v>210</v>
      </c>
      <c r="B174" s="341">
        <v>43501</v>
      </c>
      <c r="C174" s="342" t="s">
        <v>212</v>
      </c>
      <c r="D174" s="342" t="s">
        <v>213</v>
      </c>
      <c r="E174" s="344">
        <v>8190</v>
      </c>
    </row>
    <row r="175" spans="1:5" ht="15.75" thickBot="1" x14ac:dyDescent="0.3">
      <c r="A175" s="346" t="s">
        <v>607</v>
      </c>
      <c r="B175" s="347"/>
      <c r="C175" s="348"/>
      <c r="D175" s="348"/>
      <c r="E175" s="349">
        <f>ROUND(SUM(E170:E174),5)</f>
        <v>82990</v>
      </c>
    </row>
    <row r="176" spans="1:5" x14ac:dyDescent="0.25">
      <c r="A176" s="336" t="s">
        <v>138</v>
      </c>
      <c r="B176" s="337"/>
      <c r="C176" s="338"/>
      <c r="D176" s="338"/>
      <c r="E176" s="339"/>
    </row>
    <row r="177" spans="1:5" x14ac:dyDescent="0.25">
      <c r="A177" s="340" t="s">
        <v>478</v>
      </c>
      <c r="B177" s="341" t="s">
        <v>559</v>
      </c>
      <c r="C177" s="342" t="s">
        <v>608</v>
      </c>
      <c r="D177" s="342" t="s">
        <v>609</v>
      </c>
      <c r="E177" s="343">
        <v>237655.7</v>
      </c>
    </row>
    <row r="178" spans="1:5" x14ac:dyDescent="0.25">
      <c r="A178" s="340" t="s">
        <v>478</v>
      </c>
      <c r="B178" s="341" t="s">
        <v>563</v>
      </c>
      <c r="C178" s="342" t="s">
        <v>610</v>
      </c>
      <c r="D178" s="342" t="s">
        <v>611</v>
      </c>
      <c r="E178" s="343">
        <v>45200</v>
      </c>
    </row>
    <row r="179" spans="1:5" ht="15.75" thickBot="1" x14ac:dyDescent="0.3">
      <c r="A179" s="350" t="s">
        <v>478</v>
      </c>
      <c r="B179" s="351" t="s">
        <v>505</v>
      </c>
      <c r="C179" s="352" t="s">
        <v>297</v>
      </c>
      <c r="D179" s="352" t="s">
        <v>612</v>
      </c>
      <c r="E179" s="344">
        <v>60000</v>
      </c>
    </row>
    <row r="180" spans="1:5" x14ac:dyDescent="0.25">
      <c r="A180" s="340" t="s">
        <v>478</v>
      </c>
      <c r="B180" s="341" t="s">
        <v>505</v>
      </c>
      <c r="C180" s="342" t="s">
        <v>302</v>
      </c>
      <c r="D180" s="342" t="s">
        <v>303</v>
      </c>
      <c r="E180" s="343">
        <v>120000</v>
      </c>
    </row>
    <row r="181" spans="1:5" ht="15.75" thickBot="1" x14ac:dyDescent="0.3">
      <c r="A181" s="340" t="s">
        <v>478</v>
      </c>
      <c r="B181" s="341">
        <v>43743</v>
      </c>
      <c r="C181" s="342" t="s">
        <v>297</v>
      </c>
      <c r="D181" s="342" t="s">
        <v>613</v>
      </c>
      <c r="E181" s="343">
        <v>50000</v>
      </c>
    </row>
    <row r="182" spans="1:5" ht="15.75" thickBot="1" x14ac:dyDescent="0.3">
      <c r="A182" s="346" t="s">
        <v>614</v>
      </c>
      <c r="B182" s="347"/>
      <c r="C182" s="348"/>
      <c r="D182" s="348"/>
      <c r="E182" s="349">
        <f>ROUND(SUM(E176:E181),5)</f>
        <v>512855.7</v>
      </c>
    </row>
    <row r="183" spans="1:5" ht="15.75" thickBot="1" x14ac:dyDescent="0.3">
      <c r="A183" s="346" t="s">
        <v>139</v>
      </c>
      <c r="B183" s="347"/>
      <c r="C183" s="348"/>
      <c r="D183" s="348"/>
      <c r="E183" s="349">
        <f>ROUND(E142+E148+E151+E161+E165+E169+E175+E182,5)</f>
        <v>4363155.6100000003</v>
      </c>
    </row>
    <row r="184" spans="1:5" x14ac:dyDescent="0.25">
      <c r="A184" s="336" t="s">
        <v>141</v>
      </c>
      <c r="B184" s="337"/>
      <c r="C184" s="338"/>
      <c r="D184" s="338"/>
      <c r="E184" s="339"/>
    </row>
    <row r="185" spans="1:5" ht="15.75" thickBot="1" x14ac:dyDescent="0.3">
      <c r="A185" s="340" t="s">
        <v>478</v>
      </c>
      <c r="B185" s="341" t="s">
        <v>615</v>
      </c>
      <c r="C185" s="342" t="s">
        <v>352</v>
      </c>
      <c r="D185" s="342" t="s">
        <v>616</v>
      </c>
      <c r="E185" s="343">
        <v>5382000</v>
      </c>
    </row>
    <row r="186" spans="1:5" ht="15.75" thickBot="1" x14ac:dyDescent="0.3">
      <c r="A186" s="346" t="s">
        <v>617</v>
      </c>
      <c r="B186" s="347"/>
      <c r="C186" s="348"/>
      <c r="D186" s="348"/>
      <c r="E186" s="349">
        <v>5382000</v>
      </c>
    </row>
    <row r="187" spans="1:5" ht="15.75" thickBot="1" x14ac:dyDescent="0.3">
      <c r="A187" s="346" t="s">
        <v>618</v>
      </c>
      <c r="B187" s="347"/>
      <c r="C187" s="348"/>
      <c r="D187" s="348"/>
      <c r="E187" s="349">
        <f>ROUND(E119+E183+E186,5)</f>
        <v>55387162.600000001</v>
      </c>
    </row>
    <row r="188" spans="1:5" ht="15.75" thickBot="1" x14ac:dyDescent="0.3">
      <c r="A188" s="346" t="s">
        <v>619</v>
      </c>
      <c r="B188" s="347"/>
      <c r="C188" s="348"/>
      <c r="D188" s="348"/>
      <c r="E188" s="349">
        <f>E187</f>
        <v>55387162.600000001</v>
      </c>
    </row>
    <row r="189" spans="1:5" x14ac:dyDescent="0.25">
      <c r="A189" s="336" t="s">
        <v>620</v>
      </c>
      <c r="B189" s="337"/>
      <c r="C189" s="338"/>
      <c r="D189" s="338"/>
      <c r="E189" s="339"/>
    </row>
    <row r="190" spans="1:5" x14ac:dyDescent="0.25">
      <c r="A190" s="336" t="s">
        <v>621</v>
      </c>
      <c r="B190" s="337"/>
      <c r="C190" s="338"/>
      <c r="D190" s="338"/>
      <c r="E190" s="339"/>
    </row>
    <row r="191" spans="1:5" x14ac:dyDescent="0.25">
      <c r="A191" s="336" t="s">
        <v>151</v>
      </c>
      <c r="B191" s="337"/>
      <c r="C191" s="338"/>
      <c r="D191" s="338"/>
      <c r="E191" s="339"/>
    </row>
    <row r="192" spans="1:5" x14ac:dyDescent="0.25">
      <c r="A192" s="336" t="s">
        <v>152</v>
      </c>
      <c r="B192" s="337"/>
      <c r="C192" s="338"/>
      <c r="D192" s="338"/>
      <c r="E192" s="339"/>
    </row>
    <row r="193" spans="1:5" x14ac:dyDescent="0.25">
      <c r="A193" s="340" t="s">
        <v>194</v>
      </c>
      <c r="B193" s="341" t="s">
        <v>622</v>
      </c>
      <c r="C193" s="342"/>
      <c r="D193" s="342" t="s">
        <v>623</v>
      </c>
      <c r="E193" s="343">
        <v>12242.87</v>
      </c>
    </row>
    <row r="194" spans="1:5" x14ac:dyDescent="0.25">
      <c r="A194" s="340" t="s">
        <v>194</v>
      </c>
      <c r="B194" s="341" t="s">
        <v>624</v>
      </c>
      <c r="C194" s="342"/>
      <c r="D194" s="342" t="s">
        <v>625</v>
      </c>
      <c r="E194" s="343">
        <v>2408.86</v>
      </c>
    </row>
    <row r="195" spans="1:5" x14ac:dyDescent="0.25">
      <c r="A195" s="340" t="s">
        <v>194</v>
      </c>
      <c r="B195" s="341" t="s">
        <v>624</v>
      </c>
      <c r="C195" s="342"/>
      <c r="D195" s="342" t="s">
        <v>626</v>
      </c>
      <c r="E195" s="343">
        <v>7721.3</v>
      </c>
    </row>
    <row r="196" spans="1:5" x14ac:dyDescent="0.25">
      <c r="A196" s="340" t="s">
        <v>194</v>
      </c>
      <c r="B196" s="341" t="s">
        <v>627</v>
      </c>
      <c r="C196" s="342"/>
      <c r="D196" s="342" t="s">
        <v>628</v>
      </c>
      <c r="E196" s="343">
        <v>13977.23</v>
      </c>
    </row>
    <row r="197" spans="1:5" x14ac:dyDescent="0.25">
      <c r="A197" s="340" t="s">
        <v>194</v>
      </c>
      <c r="B197" s="341" t="s">
        <v>627</v>
      </c>
      <c r="C197" s="342"/>
      <c r="D197" s="342" t="s">
        <v>629</v>
      </c>
      <c r="E197" s="343">
        <v>133147.51999999999</v>
      </c>
    </row>
    <row r="198" spans="1:5" x14ac:dyDescent="0.25">
      <c r="A198" s="340" t="s">
        <v>194</v>
      </c>
      <c r="B198" s="341" t="s">
        <v>533</v>
      </c>
      <c r="C198" s="342"/>
      <c r="D198" s="342" t="s">
        <v>630</v>
      </c>
      <c r="E198" s="343">
        <v>398624.56</v>
      </c>
    </row>
    <row r="199" spans="1:5" x14ac:dyDescent="0.25">
      <c r="A199" s="340" t="s">
        <v>194</v>
      </c>
      <c r="B199" s="341" t="s">
        <v>326</v>
      </c>
      <c r="C199" s="342"/>
      <c r="D199" s="342" t="s">
        <v>631</v>
      </c>
      <c r="E199" s="343">
        <v>612663.31999999995</v>
      </c>
    </row>
    <row r="200" spans="1:5" ht="15.75" thickBot="1" x14ac:dyDescent="0.3">
      <c r="A200" s="340" t="s">
        <v>235</v>
      </c>
      <c r="B200" s="341" t="s">
        <v>326</v>
      </c>
      <c r="C200" s="342"/>
      <c r="D200" s="342" t="s">
        <v>632</v>
      </c>
      <c r="E200" s="344">
        <v>307.38</v>
      </c>
    </row>
    <row r="201" spans="1:5" ht="15.75" thickBot="1" x14ac:dyDescent="0.3">
      <c r="A201" s="346" t="s">
        <v>633</v>
      </c>
      <c r="B201" s="347"/>
      <c r="C201" s="348"/>
      <c r="D201" s="348"/>
      <c r="E201" s="349">
        <f>ROUND(SUM(E192:E200),5)</f>
        <v>1181093.04</v>
      </c>
    </row>
    <row r="202" spans="1:5" x14ac:dyDescent="0.25">
      <c r="A202" s="336" t="s">
        <v>153</v>
      </c>
      <c r="B202" s="337"/>
      <c r="C202" s="338"/>
      <c r="D202" s="338"/>
      <c r="E202" s="339"/>
    </row>
    <row r="203" spans="1:5" x14ac:dyDescent="0.25">
      <c r="A203" s="340" t="s">
        <v>194</v>
      </c>
      <c r="B203" s="341">
        <v>43770</v>
      </c>
      <c r="C203" s="342"/>
      <c r="D203" s="342" t="s">
        <v>634</v>
      </c>
      <c r="E203" s="343">
        <v>1228</v>
      </c>
    </row>
    <row r="204" spans="1:5" x14ac:dyDescent="0.25">
      <c r="A204" s="340" t="s">
        <v>194</v>
      </c>
      <c r="B204" s="341" t="s">
        <v>635</v>
      </c>
      <c r="C204" s="342"/>
      <c r="D204" s="342" t="s">
        <v>636</v>
      </c>
      <c r="E204" s="343">
        <v>1545</v>
      </c>
    </row>
    <row r="205" spans="1:5" x14ac:dyDescent="0.25">
      <c r="A205" s="340" t="s">
        <v>194</v>
      </c>
      <c r="B205" s="341" t="s">
        <v>622</v>
      </c>
      <c r="C205" s="342"/>
      <c r="D205" s="342" t="s">
        <v>637</v>
      </c>
      <c r="E205" s="343">
        <v>3684</v>
      </c>
    </row>
    <row r="206" spans="1:5" x14ac:dyDescent="0.25">
      <c r="A206" s="340" t="s">
        <v>194</v>
      </c>
      <c r="B206" s="341">
        <v>43771</v>
      </c>
      <c r="C206" s="342"/>
      <c r="D206" s="342" t="s">
        <v>638</v>
      </c>
      <c r="E206" s="343">
        <v>309.5</v>
      </c>
    </row>
    <row r="207" spans="1:5" x14ac:dyDescent="0.25">
      <c r="A207" s="340" t="s">
        <v>194</v>
      </c>
      <c r="B207" s="341">
        <v>43801</v>
      </c>
      <c r="C207" s="342"/>
      <c r="D207" s="342" t="s">
        <v>639</v>
      </c>
      <c r="E207" s="343">
        <v>1226</v>
      </c>
    </row>
    <row r="208" spans="1:5" x14ac:dyDescent="0.25">
      <c r="A208" s="340" t="s">
        <v>194</v>
      </c>
      <c r="B208" s="341">
        <v>43468</v>
      </c>
      <c r="C208" s="342"/>
      <c r="D208" s="342" t="s">
        <v>640</v>
      </c>
      <c r="E208" s="343">
        <v>1836</v>
      </c>
    </row>
    <row r="209" spans="1:5" x14ac:dyDescent="0.25">
      <c r="A209" s="340" t="s">
        <v>194</v>
      </c>
      <c r="B209" s="341">
        <v>43468</v>
      </c>
      <c r="C209" s="342"/>
      <c r="D209" s="342" t="s">
        <v>641</v>
      </c>
      <c r="E209" s="343">
        <v>459.75</v>
      </c>
    </row>
    <row r="210" spans="1:5" x14ac:dyDescent="0.25">
      <c r="A210" s="340" t="s">
        <v>194</v>
      </c>
      <c r="B210" s="341">
        <v>43558</v>
      </c>
      <c r="C210" s="342"/>
      <c r="D210" s="342" t="s">
        <v>636</v>
      </c>
      <c r="E210" s="343">
        <v>306</v>
      </c>
    </row>
    <row r="211" spans="1:5" x14ac:dyDescent="0.25">
      <c r="A211" s="340" t="s">
        <v>194</v>
      </c>
      <c r="B211" s="341">
        <v>43588</v>
      </c>
      <c r="C211" s="342"/>
      <c r="D211" s="342" t="s">
        <v>642</v>
      </c>
      <c r="E211" s="343">
        <v>398.45</v>
      </c>
    </row>
    <row r="212" spans="1:5" x14ac:dyDescent="0.25">
      <c r="A212" s="340" t="s">
        <v>194</v>
      </c>
      <c r="B212" s="341">
        <v>43588</v>
      </c>
      <c r="C212" s="342"/>
      <c r="D212" s="342" t="s">
        <v>636</v>
      </c>
      <c r="E212" s="343">
        <v>306</v>
      </c>
    </row>
    <row r="213" spans="1:5" x14ac:dyDescent="0.25">
      <c r="A213" s="340" t="s">
        <v>194</v>
      </c>
      <c r="B213" s="341" t="s">
        <v>576</v>
      </c>
      <c r="C213" s="342"/>
      <c r="D213" s="342" t="s">
        <v>636</v>
      </c>
      <c r="E213" s="343">
        <v>303</v>
      </c>
    </row>
    <row r="214" spans="1:5" x14ac:dyDescent="0.25">
      <c r="A214" s="340" t="s">
        <v>235</v>
      </c>
      <c r="B214" s="341" t="s">
        <v>643</v>
      </c>
      <c r="C214" s="342"/>
      <c r="D214" s="342" t="s">
        <v>644</v>
      </c>
      <c r="E214" s="343">
        <v>0.85</v>
      </c>
    </row>
    <row r="215" spans="1:5" x14ac:dyDescent="0.25">
      <c r="A215" s="340" t="s">
        <v>194</v>
      </c>
      <c r="B215" s="341">
        <v>43501</v>
      </c>
      <c r="C215" s="342"/>
      <c r="D215" s="342" t="s">
        <v>195</v>
      </c>
      <c r="E215" s="343">
        <v>301.5</v>
      </c>
    </row>
    <row r="216" spans="1:5" x14ac:dyDescent="0.25">
      <c r="A216" s="340" t="s">
        <v>194</v>
      </c>
      <c r="B216" s="341">
        <v>43501</v>
      </c>
      <c r="C216" s="342"/>
      <c r="D216" s="342" t="s">
        <v>199</v>
      </c>
      <c r="E216" s="343">
        <v>301.5</v>
      </c>
    </row>
    <row r="217" spans="1:5" x14ac:dyDescent="0.25">
      <c r="A217" s="340" t="s">
        <v>194</v>
      </c>
      <c r="B217" s="341">
        <v>43501</v>
      </c>
      <c r="C217" s="342"/>
      <c r="D217" s="342" t="s">
        <v>203</v>
      </c>
      <c r="E217" s="343">
        <v>301.5</v>
      </c>
    </row>
    <row r="218" spans="1:5" ht="15.75" thickBot="1" x14ac:dyDescent="0.3">
      <c r="A218" s="340" t="s">
        <v>194</v>
      </c>
      <c r="B218" s="341" t="s">
        <v>338</v>
      </c>
      <c r="C218" s="342"/>
      <c r="D218" s="342" t="s">
        <v>645</v>
      </c>
      <c r="E218" s="344">
        <v>1779</v>
      </c>
    </row>
    <row r="219" spans="1:5" ht="15.75" thickBot="1" x14ac:dyDescent="0.3">
      <c r="A219" s="346" t="s">
        <v>646</v>
      </c>
      <c r="B219" s="347"/>
      <c r="C219" s="348"/>
      <c r="D219" s="348"/>
      <c r="E219" s="349">
        <f>ROUND(SUM(E202:E218),5)</f>
        <v>14286.05</v>
      </c>
    </row>
    <row r="220" spans="1:5" x14ac:dyDescent="0.25">
      <c r="A220" s="336" t="s">
        <v>647</v>
      </c>
      <c r="B220" s="337"/>
      <c r="C220" s="338"/>
      <c r="D220" s="338"/>
      <c r="E220" s="339"/>
    </row>
    <row r="221" spans="1:5" x14ac:dyDescent="0.25">
      <c r="A221" s="340" t="s">
        <v>235</v>
      </c>
      <c r="B221" s="341" t="s">
        <v>624</v>
      </c>
      <c r="C221" s="342"/>
      <c r="D221" s="342" t="s">
        <v>632</v>
      </c>
      <c r="E221" s="343">
        <v>0.37</v>
      </c>
    </row>
    <row r="222" spans="1:5" ht="15.75" thickBot="1" x14ac:dyDescent="0.3">
      <c r="A222" s="340" t="s">
        <v>235</v>
      </c>
      <c r="B222" s="341" t="s">
        <v>326</v>
      </c>
      <c r="C222" s="342"/>
      <c r="D222" s="342" t="s">
        <v>327</v>
      </c>
      <c r="E222" s="343">
        <v>0.45</v>
      </c>
    </row>
    <row r="223" spans="1:5" ht="15.75" thickBot="1" x14ac:dyDescent="0.3">
      <c r="A223" s="346" t="s">
        <v>648</v>
      </c>
      <c r="B223" s="347"/>
      <c r="C223" s="348"/>
      <c r="D223" s="348"/>
      <c r="E223" s="349">
        <f>ROUND(SUM(E220:E222),5)</f>
        <v>0.82</v>
      </c>
    </row>
    <row r="224" spans="1:5" ht="15.75" thickBot="1" x14ac:dyDescent="0.3">
      <c r="A224" s="346" t="s">
        <v>154</v>
      </c>
      <c r="B224" s="347"/>
      <c r="C224" s="348"/>
      <c r="D224" s="348"/>
      <c r="E224" s="349">
        <f>ROUND(E201+E219+E223,5)</f>
        <v>1195379.9099999999</v>
      </c>
    </row>
    <row r="225" spans="1:5" ht="15.75" hidden="1" thickBot="1" x14ac:dyDescent="0.3">
      <c r="A225" s="340" t="s">
        <v>649</v>
      </c>
      <c r="B225" s="341"/>
      <c r="C225" s="342"/>
      <c r="D225" s="342"/>
      <c r="E225" s="345">
        <f>E224</f>
        <v>1195379.9099999999</v>
      </c>
    </row>
    <row r="226" spans="1:5" ht="15.75" hidden="1" thickBot="1" x14ac:dyDescent="0.3">
      <c r="A226" s="340" t="s">
        <v>650</v>
      </c>
      <c r="B226" s="341"/>
      <c r="C226" s="342"/>
      <c r="D226" s="342"/>
      <c r="E226" s="345">
        <f>E225</f>
        <v>1195379.9099999999</v>
      </c>
    </row>
    <row r="227" spans="1:5" ht="15.75" thickBot="1" x14ac:dyDescent="0.3">
      <c r="A227" s="346" t="s">
        <v>651</v>
      </c>
      <c r="B227" s="347"/>
      <c r="C227" s="348"/>
      <c r="D227" s="348"/>
      <c r="E227" s="349">
        <f>ROUND(E188+E226,5)</f>
        <v>56582542.509999998</v>
      </c>
    </row>
  </sheetData>
  <pageMargins left="0.51181102362204722" right="0" top="0.9055118110236221" bottom="0.9055118110236221" header="0.31496062992125984" footer="0.9055118110236221"/>
  <pageSetup scale="70" orientation="landscape" horizontalDpi="4294967294" r:id="rId1"/>
  <headerFooter>
    <oddHeader>&amp;C&amp;"Arial,Negrita"&amp;12VISTA A LA COLINA
&amp;14 Detalle de Gastos (Expresado en Colones)
Enero - Mayo  de  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90"/>
  <sheetViews>
    <sheetView showGridLines="0" topLeftCell="A106" zoomScale="95" zoomScaleNormal="95" workbookViewId="0">
      <selection activeCell="I14" sqref="I14"/>
    </sheetView>
  </sheetViews>
  <sheetFormatPr baseColWidth="10" defaultColWidth="12.5703125" defaultRowHeight="15.75" x14ac:dyDescent="0.25"/>
  <cols>
    <col min="1" max="1" width="1.28515625" style="5" customWidth="1"/>
    <col min="2" max="2" width="4" style="5" customWidth="1"/>
    <col min="3" max="3" width="37.28515625" style="5" customWidth="1"/>
    <col min="4" max="4" width="13.42578125" style="5" customWidth="1"/>
    <col min="5" max="5" width="34.5703125" style="5" customWidth="1"/>
    <col min="6" max="6" width="26" style="37" customWidth="1"/>
    <col min="7" max="7" width="11.42578125" style="5" customWidth="1"/>
    <col min="8" max="8" width="3" style="5" customWidth="1"/>
    <col min="9" max="9" width="12.85546875" style="5" customWidth="1"/>
    <col min="10" max="10" width="5.85546875" style="5" customWidth="1"/>
    <col min="11" max="11" width="19.7109375" style="5" customWidth="1"/>
    <col min="12" max="12" width="17.28515625" style="5" bestFit="1" customWidth="1"/>
    <col min="13" max="13" width="16" style="5" bestFit="1" customWidth="1"/>
    <col min="14" max="16384" width="12.5703125" style="5"/>
  </cols>
  <sheetData>
    <row r="1" spans="1:13" ht="16.5" thickBot="1" x14ac:dyDescent="0.3"/>
    <row r="2" spans="1:13" ht="20.25" thickBot="1" x14ac:dyDescent="0.4">
      <c r="B2" s="315" t="s">
        <v>12</v>
      </c>
      <c r="C2" s="316"/>
      <c r="D2" s="316"/>
      <c r="E2" s="316"/>
      <c r="F2" s="316"/>
      <c r="G2" s="316"/>
      <c r="H2" s="316"/>
      <c r="I2" s="316"/>
      <c r="J2" s="317"/>
    </row>
    <row r="3" spans="1:13" ht="16.5" customHeight="1" x14ac:dyDescent="0.25">
      <c r="A3" s="6"/>
      <c r="B3" s="128"/>
      <c r="C3" s="129" t="s">
        <v>60</v>
      </c>
      <c r="D3" s="119"/>
      <c r="E3" s="119"/>
      <c r="F3" s="120"/>
      <c r="G3" s="121"/>
      <c r="H3" s="122"/>
      <c r="I3" s="122"/>
      <c r="J3" s="123"/>
    </row>
    <row r="4" spans="1:13" x14ac:dyDescent="0.25">
      <c r="B4" s="41"/>
      <c r="C4" s="7" t="s">
        <v>161</v>
      </c>
      <c r="D4" s="8"/>
      <c r="E4" s="11" t="s">
        <v>395</v>
      </c>
      <c r="F4" s="109"/>
      <c r="G4" s="12"/>
      <c r="H4" s="9"/>
      <c r="I4" s="10"/>
      <c r="J4" s="42"/>
    </row>
    <row r="5" spans="1:13" x14ac:dyDescent="0.25">
      <c r="B5" s="41"/>
      <c r="C5" s="10"/>
      <c r="D5" s="10"/>
      <c r="E5" s="10"/>
      <c r="F5" s="110"/>
      <c r="G5" s="10"/>
      <c r="H5" s="10"/>
      <c r="I5" s="10"/>
      <c r="J5" s="42"/>
    </row>
    <row r="6" spans="1:13" x14ac:dyDescent="0.25">
      <c r="B6" s="41"/>
      <c r="C6" s="11" t="s">
        <v>13</v>
      </c>
      <c r="D6" s="43"/>
      <c r="E6" s="11" t="s">
        <v>14</v>
      </c>
      <c r="F6" s="111"/>
      <c r="G6" s="11" t="s">
        <v>15</v>
      </c>
      <c r="H6" s="43"/>
      <c r="I6" s="11" t="s">
        <v>16</v>
      </c>
      <c r="J6" s="42"/>
    </row>
    <row r="7" spans="1:13" ht="12" customHeight="1" x14ac:dyDescent="0.25">
      <c r="B7" s="41"/>
      <c r="C7" s="13"/>
      <c r="D7" s="43"/>
      <c r="E7" s="13"/>
      <c r="F7" s="111"/>
      <c r="G7" s="13"/>
      <c r="H7" s="43"/>
      <c r="I7" s="13"/>
      <c r="J7" s="42"/>
    </row>
    <row r="8" spans="1:13" ht="18" customHeight="1" x14ac:dyDescent="0.25">
      <c r="B8" s="41"/>
      <c r="C8" s="14" t="s">
        <v>396</v>
      </c>
      <c r="D8" s="10"/>
      <c r="E8" s="10"/>
      <c r="F8" s="110"/>
      <c r="G8" s="10"/>
      <c r="H8" s="44" t="s">
        <v>17</v>
      </c>
      <c r="I8" s="15">
        <v>38064615.189999998</v>
      </c>
      <c r="J8" s="42"/>
      <c r="K8" s="37" t="s">
        <v>3</v>
      </c>
      <c r="L8" s="37" t="s">
        <v>3</v>
      </c>
    </row>
    <row r="9" spans="1:13" ht="9" customHeight="1" x14ac:dyDescent="0.3">
      <c r="B9" s="41"/>
      <c r="C9" s="10"/>
      <c r="D9" s="10"/>
      <c r="E9" s="45"/>
      <c r="F9" s="110"/>
      <c r="G9" s="10"/>
      <c r="H9" s="10"/>
      <c r="I9" s="10"/>
      <c r="J9" s="42"/>
    </row>
    <row r="10" spans="1:13" ht="15.75" customHeight="1" x14ac:dyDescent="0.25">
      <c r="B10" s="41"/>
      <c r="C10" s="11" t="s">
        <v>18</v>
      </c>
      <c r="D10" s="10"/>
      <c r="E10" s="10"/>
      <c r="F10" s="110"/>
      <c r="G10" s="10"/>
      <c r="H10" s="10"/>
      <c r="I10" s="10"/>
      <c r="J10" s="42"/>
      <c r="L10" s="5" t="s">
        <v>3</v>
      </c>
    </row>
    <row r="11" spans="1:13" ht="15" customHeight="1" x14ac:dyDescent="0.25">
      <c r="B11" s="41"/>
      <c r="C11" s="320" t="s">
        <v>400</v>
      </c>
      <c r="E11" s="320" t="s">
        <v>236</v>
      </c>
      <c r="G11" s="321">
        <v>273121.27</v>
      </c>
      <c r="H11" s="17"/>
      <c r="I11" s="17"/>
      <c r="J11" s="42"/>
      <c r="L11" s="37"/>
      <c r="M11" s="37"/>
    </row>
    <row r="12" spans="1:13" ht="15" customHeight="1" x14ac:dyDescent="0.25">
      <c r="B12" s="41"/>
      <c r="C12" s="320" t="s">
        <v>285</v>
      </c>
      <c r="E12" s="320" t="s">
        <v>289</v>
      </c>
      <c r="G12" s="321">
        <v>221444.15</v>
      </c>
      <c r="H12" s="17"/>
      <c r="I12" s="17"/>
      <c r="J12" s="42"/>
      <c r="L12" s="37"/>
      <c r="M12" s="37"/>
    </row>
    <row r="13" spans="1:13" ht="15" customHeight="1" x14ac:dyDescent="0.25">
      <c r="B13" s="41"/>
      <c r="C13" s="320" t="s">
        <v>223</v>
      </c>
      <c r="E13" s="320" t="s">
        <v>325</v>
      </c>
      <c r="G13" s="321">
        <v>462923.08</v>
      </c>
      <c r="H13" s="17"/>
      <c r="I13" s="17"/>
      <c r="J13" s="42"/>
      <c r="L13" s="37"/>
      <c r="M13" s="37"/>
    </row>
    <row r="14" spans="1:13" ht="15" customHeight="1" x14ac:dyDescent="0.25">
      <c r="B14" s="41"/>
      <c r="C14" s="320" t="s">
        <v>399</v>
      </c>
      <c r="E14" s="320" t="s">
        <v>327</v>
      </c>
      <c r="G14" s="321">
        <v>5550</v>
      </c>
      <c r="H14" s="17"/>
      <c r="I14" s="17"/>
      <c r="J14" s="42"/>
      <c r="L14" s="37"/>
    </row>
    <row r="15" spans="1:13" ht="15" customHeight="1" x14ac:dyDescent="0.25">
      <c r="B15" s="41"/>
      <c r="C15" s="320" t="s">
        <v>398</v>
      </c>
      <c r="E15" s="320" t="s">
        <v>330</v>
      </c>
      <c r="G15" s="321">
        <v>189772</v>
      </c>
      <c r="H15" s="17"/>
      <c r="I15" s="17"/>
      <c r="J15" s="42"/>
    </row>
    <row r="16" spans="1:13" ht="15" customHeight="1" x14ac:dyDescent="0.25">
      <c r="B16" s="41"/>
      <c r="C16" s="320" t="s">
        <v>397</v>
      </c>
      <c r="E16" s="320" t="s">
        <v>333</v>
      </c>
      <c r="G16" s="321">
        <v>198032.65</v>
      </c>
      <c r="H16" s="17"/>
      <c r="I16" s="17"/>
      <c r="J16" s="42"/>
    </row>
    <row r="17" spans="2:10" ht="15" customHeight="1" x14ac:dyDescent="0.25">
      <c r="B17" s="41"/>
      <c r="C17" s="320" t="s">
        <v>182</v>
      </c>
      <c r="E17" s="320" t="s">
        <v>183</v>
      </c>
      <c r="G17" s="321">
        <v>92319.31</v>
      </c>
      <c r="H17" s="17"/>
      <c r="I17" s="17"/>
      <c r="J17" s="42"/>
    </row>
    <row r="18" spans="2:10" ht="15" customHeight="1" x14ac:dyDescent="0.25">
      <c r="B18" s="41"/>
      <c r="C18" s="320" t="s">
        <v>184</v>
      </c>
      <c r="E18" s="320" t="s">
        <v>185</v>
      </c>
      <c r="G18" s="321">
        <v>206000</v>
      </c>
      <c r="H18" s="17"/>
      <c r="I18" s="17"/>
      <c r="J18" s="42"/>
    </row>
    <row r="19" spans="2:10" ht="15" customHeight="1" x14ac:dyDescent="0.25">
      <c r="B19" s="41"/>
      <c r="C19" s="320" t="s">
        <v>186</v>
      </c>
      <c r="E19" s="320" t="s">
        <v>187</v>
      </c>
      <c r="G19" s="321">
        <v>175515.87</v>
      </c>
      <c r="H19" s="17"/>
      <c r="I19" s="17"/>
      <c r="J19" s="42"/>
    </row>
    <row r="20" spans="2:10" ht="15" customHeight="1" x14ac:dyDescent="0.25">
      <c r="B20" s="41"/>
      <c r="C20" s="320" t="s">
        <v>188</v>
      </c>
      <c r="E20" s="320" t="s">
        <v>189</v>
      </c>
      <c r="G20" s="321">
        <v>138683.25</v>
      </c>
      <c r="H20" s="17"/>
      <c r="I20" s="17"/>
      <c r="J20" s="42"/>
    </row>
    <row r="21" spans="2:10" ht="15" customHeight="1" x14ac:dyDescent="0.25">
      <c r="B21" s="41"/>
      <c r="C21" s="320" t="s">
        <v>221</v>
      </c>
      <c r="E21" s="320" t="s">
        <v>222</v>
      </c>
      <c r="G21" s="321">
        <v>8037</v>
      </c>
      <c r="H21" s="17"/>
      <c r="I21" s="17"/>
      <c r="J21" s="42"/>
    </row>
    <row r="22" spans="2:10" ht="15" customHeight="1" x14ac:dyDescent="0.25">
      <c r="B22" s="41"/>
      <c r="C22" s="320" t="s">
        <v>223</v>
      </c>
      <c r="E22" s="320" t="s">
        <v>224</v>
      </c>
      <c r="G22" s="321">
        <v>300000</v>
      </c>
      <c r="H22" s="17"/>
      <c r="I22" s="17"/>
      <c r="J22" s="42"/>
    </row>
    <row r="23" spans="2:10" ht="15" customHeight="1" x14ac:dyDescent="0.25">
      <c r="B23" s="41"/>
      <c r="C23" s="320" t="s">
        <v>225</v>
      </c>
      <c r="E23" s="320" t="s">
        <v>226</v>
      </c>
      <c r="G23" s="321">
        <v>168633.29</v>
      </c>
      <c r="H23" s="17"/>
      <c r="I23" s="17"/>
      <c r="J23" s="42"/>
    </row>
    <row r="24" spans="2:10" ht="15" customHeight="1" x14ac:dyDescent="0.25">
      <c r="B24" s="41"/>
      <c r="C24" s="320" t="s">
        <v>227</v>
      </c>
      <c r="E24" s="320" t="s">
        <v>228</v>
      </c>
      <c r="G24" s="321">
        <v>132936.21</v>
      </c>
      <c r="H24" s="17"/>
      <c r="I24" s="17"/>
      <c r="J24" s="42"/>
    </row>
    <row r="25" spans="2:10" ht="15" customHeight="1" x14ac:dyDescent="0.25">
      <c r="B25" s="41"/>
      <c r="C25" s="320" t="s">
        <v>229</v>
      </c>
      <c r="E25" s="320" t="s">
        <v>230</v>
      </c>
      <c r="G25" s="321">
        <v>200460.26</v>
      </c>
      <c r="H25" s="17"/>
      <c r="I25" s="17"/>
      <c r="J25" s="42"/>
    </row>
    <row r="26" spans="2:10" ht="15" customHeight="1" x14ac:dyDescent="0.25">
      <c r="B26" s="41"/>
      <c r="C26" s="320" t="s">
        <v>231</v>
      </c>
      <c r="E26" s="320" t="s">
        <v>232</v>
      </c>
      <c r="G26" s="321">
        <v>138124.13</v>
      </c>
      <c r="H26" s="17"/>
      <c r="I26" s="17"/>
      <c r="J26" s="42"/>
    </row>
    <row r="27" spans="2:10" ht="15" customHeight="1" x14ac:dyDescent="0.25">
      <c r="B27" s="41"/>
      <c r="C27" s="320" t="s">
        <v>233</v>
      </c>
      <c r="E27" s="320" t="s">
        <v>234</v>
      </c>
      <c r="G27" s="321">
        <v>5195</v>
      </c>
      <c r="H27" s="17"/>
      <c r="I27" s="17"/>
      <c r="J27" s="42"/>
    </row>
    <row r="28" spans="2:10" ht="15" customHeight="1" x14ac:dyDescent="0.25">
      <c r="B28" s="41"/>
      <c r="C28" s="320" t="s">
        <v>237</v>
      </c>
      <c r="E28" s="320" t="s">
        <v>238</v>
      </c>
      <c r="G28" s="321">
        <v>132537</v>
      </c>
      <c r="H28" s="17"/>
      <c r="I28" s="17"/>
      <c r="J28" s="42"/>
    </row>
    <row r="29" spans="2:10" ht="15" customHeight="1" x14ac:dyDescent="0.25">
      <c r="B29" s="41"/>
      <c r="C29" s="320" t="s">
        <v>239</v>
      </c>
      <c r="E29" s="320" t="s">
        <v>240</v>
      </c>
      <c r="G29" s="321">
        <v>2000</v>
      </c>
      <c r="H29" s="17"/>
      <c r="I29" s="17"/>
      <c r="J29" s="42"/>
    </row>
    <row r="30" spans="2:10" ht="15" customHeight="1" x14ac:dyDescent="0.25">
      <c r="B30" s="41"/>
      <c r="C30" s="320" t="s">
        <v>241</v>
      </c>
      <c r="E30" s="320" t="s">
        <v>242</v>
      </c>
      <c r="G30" s="321">
        <v>92408.13</v>
      </c>
      <c r="H30" s="17"/>
      <c r="I30" s="17"/>
      <c r="J30" s="42"/>
    </row>
    <row r="31" spans="2:10" ht="15" customHeight="1" x14ac:dyDescent="0.25">
      <c r="B31" s="41"/>
      <c r="C31" s="320" t="s">
        <v>249</v>
      </c>
      <c r="E31" s="320" t="s">
        <v>250</v>
      </c>
      <c r="G31" s="321">
        <v>168634.75</v>
      </c>
      <c r="H31" s="17"/>
      <c r="I31" s="17"/>
      <c r="J31" s="42"/>
    </row>
    <row r="32" spans="2:10" ht="15" customHeight="1" x14ac:dyDescent="0.25">
      <c r="B32" s="41"/>
      <c r="C32" s="320" t="s">
        <v>251</v>
      </c>
      <c r="E32" s="320" t="s">
        <v>252</v>
      </c>
      <c r="G32" s="321">
        <v>201665.54</v>
      </c>
      <c r="H32" s="17"/>
      <c r="I32" s="17"/>
      <c r="J32" s="42"/>
    </row>
    <row r="33" spans="2:10" ht="15" customHeight="1" x14ac:dyDescent="0.25">
      <c r="B33" s="41"/>
      <c r="C33" s="320" t="s">
        <v>253</v>
      </c>
      <c r="E33" s="320" t="s">
        <v>254</v>
      </c>
      <c r="G33" s="321">
        <v>201580</v>
      </c>
      <c r="H33" s="17"/>
      <c r="I33" s="17"/>
      <c r="J33" s="42"/>
    </row>
    <row r="34" spans="2:10" ht="15" customHeight="1" x14ac:dyDescent="0.25">
      <c r="B34" s="41"/>
      <c r="C34" s="320" t="s">
        <v>255</v>
      </c>
      <c r="E34" s="320" t="s">
        <v>256</v>
      </c>
      <c r="G34" s="321">
        <v>152077.28</v>
      </c>
      <c r="H34" s="17"/>
      <c r="I34" s="17"/>
      <c r="J34" s="42"/>
    </row>
    <row r="35" spans="2:10" ht="15" customHeight="1" x14ac:dyDescent="0.25">
      <c r="B35" s="41"/>
      <c r="C35" s="320" t="s">
        <v>257</v>
      </c>
      <c r="E35" s="320" t="s">
        <v>258</v>
      </c>
      <c r="G35" s="321">
        <v>160221.1</v>
      </c>
      <c r="H35" s="17"/>
      <c r="I35" s="17"/>
      <c r="J35" s="42"/>
    </row>
    <row r="36" spans="2:10" ht="15" customHeight="1" x14ac:dyDescent="0.25">
      <c r="B36" s="41"/>
      <c r="C36" s="320" t="s">
        <v>257</v>
      </c>
      <c r="E36" s="320" t="s">
        <v>259</v>
      </c>
      <c r="G36" s="321">
        <v>160005.1</v>
      </c>
      <c r="H36" s="17"/>
      <c r="I36" s="17"/>
      <c r="J36" s="42"/>
    </row>
    <row r="37" spans="2:10" ht="15" customHeight="1" x14ac:dyDescent="0.25">
      <c r="B37" s="41"/>
      <c r="C37" s="320" t="s">
        <v>260</v>
      </c>
      <c r="E37" s="320" t="s">
        <v>261</v>
      </c>
      <c r="G37" s="321">
        <v>135000</v>
      </c>
      <c r="H37" s="17"/>
      <c r="I37" s="17"/>
      <c r="J37" s="42"/>
    </row>
    <row r="38" spans="2:10" ht="15" customHeight="1" x14ac:dyDescent="0.25">
      <c r="B38" s="41"/>
      <c r="C38" s="320" t="s">
        <v>262</v>
      </c>
      <c r="E38" s="320" t="s">
        <v>263</v>
      </c>
      <c r="G38" s="321">
        <v>135920</v>
      </c>
      <c r="H38" s="17"/>
      <c r="I38" s="17"/>
      <c r="J38" s="42"/>
    </row>
    <row r="39" spans="2:10" ht="15" customHeight="1" x14ac:dyDescent="0.25">
      <c r="B39" s="41"/>
      <c r="C39" s="320" t="s">
        <v>264</v>
      </c>
      <c r="E39" s="320" t="s">
        <v>265</v>
      </c>
      <c r="G39" s="321">
        <v>156706.35</v>
      </c>
      <c r="H39" s="17"/>
      <c r="I39" s="17"/>
      <c r="J39" s="42"/>
    </row>
    <row r="40" spans="2:10" ht="15" customHeight="1" x14ac:dyDescent="0.25">
      <c r="B40" s="41"/>
      <c r="C40" s="320" t="s">
        <v>266</v>
      </c>
      <c r="E40" s="320" t="s">
        <v>267</v>
      </c>
      <c r="G40" s="321">
        <v>106292.8</v>
      </c>
      <c r="H40" s="17"/>
      <c r="I40" s="17"/>
      <c r="J40" s="42"/>
    </row>
    <row r="41" spans="2:10" ht="15" customHeight="1" x14ac:dyDescent="0.25">
      <c r="B41" s="41"/>
      <c r="C41" s="320" t="s">
        <v>268</v>
      </c>
      <c r="E41" s="320" t="s">
        <v>269</v>
      </c>
      <c r="G41" s="321">
        <v>137022</v>
      </c>
      <c r="H41" s="17"/>
      <c r="I41" s="17"/>
      <c r="J41" s="42"/>
    </row>
    <row r="42" spans="2:10" ht="15" customHeight="1" x14ac:dyDescent="0.25">
      <c r="B42" s="41"/>
      <c r="C42" s="320" t="s">
        <v>270</v>
      </c>
      <c r="E42" s="320" t="s">
        <v>271</v>
      </c>
      <c r="G42" s="321">
        <v>161676.35</v>
      </c>
      <c r="H42" s="17"/>
      <c r="I42" s="17"/>
      <c r="J42" s="42"/>
    </row>
    <row r="43" spans="2:10" ht="15" customHeight="1" x14ac:dyDescent="0.25">
      <c r="B43" s="41"/>
      <c r="C43" s="320" t="s">
        <v>272</v>
      </c>
      <c r="E43" s="320" t="s">
        <v>273</v>
      </c>
      <c r="G43" s="321">
        <v>160114</v>
      </c>
      <c r="H43" s="17"/>
      <c r="I43" s="17"/>
      <c r="J43" s="42"/>
    </row>
    <row r="44" spans="2:10" ht="15" customHeight="1" x14ac:dyDescent="0.25">
      <c r="B44" s="41"/>
      <c r="C44" s="320" t="s">
        <v>276</v>
      </c>
      <c r="E44" s="320" t="s">
        <v>277</v>
      </c>
      <c r="G44" s="321">
        <v>173794</v>
      </c>
      <c r="H44" s="17"/>
      <c r="I44" s="17"/>
      <c r="J44" s="42"/>
    </row>
    <row r="45" spans="2:10" ht="15" customHeight="1" x14ac:dyDescent="0.25">
      <c r="B45" s="41"/>
      <c r="C45" s="320" t="s">
        <v>274</v>
      </c>
      <c r="E45" s="320" t="s">
        <v>275</v>
      </c>
      <c r="G45" s="321">
        <v>2355</v>
      </c>
      <c r="H45" s="17"/>
      <c r="I45" s="17"/>
      <c r="J45" s="42"/>
    </row>
    <row r="46" spans="2:10" ht="15" customHeight="1" x14ac:dyDescent="0.25">
      <c r="B46" s="41"/>
      <c r="C46" s="320" t="s">
        <v>279</v>
      </c>
      <c r="E46" s="320" t="s">
        <v>280</v>
      </c>
      <c r="G46" s="321">
        <v>171895</v>
      </c>
      <c r="H46" s="17"/>
      <c r="I46" s="17"/>
      <c r="J46" s="42"/>
    </row>
    <row r="47" spans="2:10" ht="15" customHeight="1" x14ac:dyDescent="0.25">
      <c r="B47" s="41"/>
      <c r="C47" s="320" t="s">
        <v>281</v>
      </c>
      <c r="E47" s="320" t="s">
        <v>282</v>
      </c>
      <c r="G47" s="321">
        <v>195308.31</v>
      </c>
      <c r="H47" s="17"/>
      <c r="I47" s="17"/>
      <c r="J47" s="42"/>
    </row>
    <row r="48" spans="2:10" ht="15" customHeight="1" x14ac:dyDescent="0.25">
      <c r="B48" s="41"/>
      <c r="C48" s="320" t="s">
        <v>283</v>
      </c>
      <c r="E48" s="320" t="s">
        <v>284</v>
      </c>
      <c r="G48" s="321">
        <v>102675.7</v>
      </c>
      <c r="H48" s="17"/>
      <c r="I48" s="17"/>
      <c r="J48" s="42"/>
    </row>
    <row r="49" spans="2:10" ht="15" customHeight="1" x14ac:dyDescent="0.25">
      <c r="B49" s="41"/>
      <c r="C49" s="320" t="s">
        <v>285</v>
      </c>
      <c r="E49" s="320" t="s">
        <v>286</v>
      </c>
      <c r="G49" s="321">
        <v>192120</v>
      </c>
      <c r="H49" s="17"/>
      <c r="I49" s="17"/>
      <c r="J49" s="42"/>
    </row>
    <row r="50" spans="2:10" ht="15" customHeight="1" x14ac:dyDescent="0.25">
      <c r="B50" s="41"/>
      <c r="C50" s="320" t="s">
        <v>287</v>
      </c>
      <c r="E50" s="320" t="s">
        <v>288</v>
      </c>
      <c r="G50" s="321">
        <v>51872.52</v>
      </c>
      <c r="H50" s="17"/>
      <c r="I50" s="17"/>
      <c r="J50" s="42"/>
    </row>
    <row r="51" spans="2:10" ht="15" customHeight="1" x14ac:dyDescent="0.25">
      <c r="B51" s="41"/>
      <c r="C51" s="320" t="s">
        <v>290</v>
      </c>
      <c r="E51" s="320" t="s">
        <v>291</v>
      </c>
      <c r="G51" s="321">
        <v>4485</v>
      </c>
      <c r="H51" s="17"/>
      <c r="I51" s="17"/>
      <c r="J51" s="42"/>
    </row>
    <row r="52" spans="2:10" ht="15" customHeight="1" x14ac:dyDescent="0.25">
      <c r="B52" s="41"/>
      <c r="C52" s="320" t="s">
        <v>312</v>
      </c>
      <c r="E52" s="320" t="s">
        <v>313</v>
      </c>
      <c r="G52" s="321">
        <v>10173</v>
      </c>
      <c r="H52" s="17"/>
      <c r="I52" s="17"/>
      <c r="J52" s="42"/>
    </row>
    <row r="53" spans="2:10" ht="15" customHeight="1" x14ac:dyDescent="0.25">
      <c r="B53" s="41"/>
      <c r="C53" s="320" t="s">
        <v>312</v>
      </c>
      <c r="E53" s="320" t="s">
        <v>314</v>
      </c>
      <c r="G53" s="321">
        <v>8957</v>
      </c>
      <c r="H53" s="17"/>
      <c r="I53" s="17"/>
      <c r="J53" s="42"/>
    </row>
    <row r="54" spans="2:10" ht="15" customHeight="1" x14ac:dyDescent="0.25">
      <c r="B54" s="41"/>
      <c r="C54" s="320" t="s">
        <v>315</v>
      </c>
      <c r="E54" s="320" t="s">
        <v>316</v>
      </c>
      <c r="G54" s="321">
        <v>132536.92000000001</v>
      </c>
      <c r="H54" s="17"/>
      <c r="I54" s="17"/>
      <c r="J54" s="42"/>
    </row>
    <row r="55" spans="2:10" ht="15" customHeight="1" x14ac:dyDescent="0.25">
      <c r="B55" s="41"/>
      <c r="C55" s="320" t="s">
        <v>274</v>
      </c>
      <c r="E55" s="320" t="s">
        <v>317</v>
      </c>
      <c r="G55" s="321">
        <v>20523</v>
      </c>
      <c r="H55" s="17"/>
      <c r="I55" s="17"/>
      <c r="J55" s="42"/>
    </row>
    <row r="56" spans="2:10" ht="15" customHeight="1" x14ac:dyDescent="0.25">
      <c r="B56" s="41"/>
      <c r="C56" s="320" t="s">
        <v>322</v>
      </c>
      <c r="E56" s="320" t="s">
        <v>323</v>
      </c>
      <c r="G56" s="321">
        <v>11597</v>
      </c>
      <c r="H56" s="17"/>
      <c r="I56" s="17"/>
      <c r="J56" s="42"/>
    </row>
    <row r="57" spans="2:10" ht="15" customHeight="1" x14ac:dyDescent="0.25">
      <c r="B57" s="41"/>
      <c r="C57" s="320" t="s">
        <v>328</v>
      </c>
      <c r="E57" s="320" t="s">
        <v>329</v>
      </c>
      <c r="G57" s="321">
        <v>6260</v>
      </c>
      <c r="H57" s="17"/>
      <c r="I57" s="17"/>
      <c r="J57" s="42"/>
    </row>
    <row r="58" spans="2:10" ht="15" customHeight="1" x14ac:dyDescent="0.25">
      <c r="B58" s="41"/>
      <c r="C58" s="320" t="s">
        <v>331</v>
      </c>
      <c r="E58" s="320" t="s">
        <v>332</v>
      </c>
      <c r="G58" s="321">
        <v>160398.46</v>
      </c>
      <c r="H58" s="17"/>
      <c r="I58" s="17"/>
      <c r="J58" s="42"/>
    </row>
    <row r="59" spans="2:10" ht="15" customHeight="1" x14ac:dyDescent="0.25">
      <c r="B59" s="41"/>
      <c r="C59" s="320" t="s">
        <v>401</v>
      </c>
      <c r="E59" s="320" t="s">
        <v>381</v>
      </c>
      <c r="G59" s="321">
        <v>460246.6</v>
      </c>
      <c r="H59" s="17"/>
      <c r="I59" s="17"/>
      <c r="J59" s="42"/>
    </row>
    <row r="60" spans="2:10" ht="15" customHeight="1" x14ac:dyDescent="0.25">
      <c r="B60" s="41"/>
      <c r="C60" s="253" t="s">
        <v>402</v>
      </c>
      <c r="E60" s="253" t="s">
        <v>334</v>
      </c>
      <c r="G60" s="77">
        <v>10181577.970000001</v>
      </c>
      <c r="H60" s="17"/>
      <c r="I60" s="17"/>
      <c r="J60" s="42"/>
    </row>
    <row r="61" spans="2:10" ht="15" customHeight="1" x14ac:dyDescent="0.25">
      <c r="B61" s="41"/>
      <c r="C61" s="253" t="s">
        <v>388</v>
      </c>
      <c r="E61" s="253" t="s">
        <v>387</v>
      </c>
      <c r="G61" s="77">
        <v>129360</v>
      </c>
      <c r="H61" s="17"/>
      <c r="I61" s="17"/>
      <c r="J61" s="42"/>
    </row>
    <row r="62" spans="2:10" ht="15" customHeight="1" x14ac:dyDescent="0.25">
      <c r="B62" s="41"/>
      <c r="C62" s="253" t="s">
        <v>386</v>
      </c>
      <c r="E62" s="253" t="s">
        <v>385</v>
      </c>
      <c r="G62" s="77">
        <v>119986</v>
      </c>
      <c r="H62" s="17"/>
      <c r="I62" s="17"/>
      <c r="J62" s="42"/>
    </row>
    <row r="63" spans="2:10" ht="15" customHeight="1" x14ac:dyDescent="0.25">
      <c r="B63" s="41"/>
      <c r="C63" s="253" t="s">
        <v>384</v>
      </c>
      <c r="E63" s="253" t="s">
        <v>383</v>
      </c>
      <c r="G63" s="77">
        <v>86117</v>
      </c>
      <c r="H63" s="17"/>
      <c r="I63" s="17"/>
      <c r="J63" s="42"/>
    </row>
    <row r="64" spans="2:10" ht="15" customHeight="1" x14ac:dyDescent="0.25">
      <c r="B64" s="41"/>
      <c r="C64" s="253" t="s">
        <v>336</v>
      </c>
      <c r="E64" s="253" t="s">
        <v>382</v>
      </c>
      <c r="G64" s="77">
        <v>160401.5</v>
      </c>
      <c r="H64" s="17"/>
      <c r="I64" s="17"/>
      <c r="J64" s="42"/>
    </row>
    <row r="65" spans="2:12" ht="15" customHeight="1" thickBot="1" x14ac:dyDescent="0.3">
      <c r="B65" s="41"/>
      <c r="C65" s="253" t="s">
        <v>336</v>
      </c>
      <c r="E65" s="253" t="s">
        <v>335</v>
      </c>
      <c r="G65" s="275">
        <v>158979.6</v>
      </c>
      <c r="H65" s="17"/>
      <c r="I65" s="17"/>
      <c r="J65" s="42"/>
    </row>
    <row r="66" spans="2:12" ht="15" customHeight="1" thickBot="1" x14ac:dyDescent="0.3">
      <c r="B66" s="41"/>
      <c r="C66" s="253"/>
      <c r="D66" s="253"/>
      <c r="G66" s="77"/>
      <c r="H66" s="17"/>
      <c r="I66" s="17"/>
      <c r="J66" s="42"/>
    </row>
    <row r="67" spans="2:12" ht="13.5" customHeight="1" thickBot="1" x14ac:dyDescent="0.3">
      <c r="B67" s="41"/>
      <c r="C67" s="71" t="s">
        <v>167</v>
      </c>
      <c r="D67" s="133"/>
      <c r="F67" s="85"/>
      <c r="G67" s="18"/>
      <c r="H67" s="10"/>
      <c r="I67" s="23">
        <f>SUM(G11:G66)</f>
        <v>17722227.449999999</v>
      </c>
      <c r="J67" s="42"/>
    </row>
    <row r="68" spans="2:12" ht="13.5" customHeight="1" x14ac:dyDescent="0.25">
      <c r="B68" s="41"/>
      <c r="C68" s="125"/>
      <c r="D68" s="125"/>
      <c r="E68" s="83"/>
      <c r="F68" s="112"/>
      <c r="G68" s="18"/>
      <c r="H68" s="10"/>
      <c r="I68" s="17"/>
      <c r="J68" s="42"/>
    </row>
    <row r="69" spans="2:12" ht="13.5" customHeight="1" x14ac:dyDescent="0.25">
      <c r="B69" s="41"/>
      <c r="C69" s="22" t="s">
        <v>36</v>
      </c>
      <c r="D69" s="68"/>
      <c r="E69" s="31"/>
      <c r="F69" s="113"/>
      <c r="G69" s="47"/>
      <c r="H69" s="10"/>
      <c r="I69" s="78"/>
      <c r="J69" s="42"/>
    </row>
    <row r="70" spans="2:12" ht="13.5" customHeight="1" x14ac:dyDescent="0.25">
      <c r="B70" s="41"/>
      <c r="C70" s="102" t="s">
        <v>166</v>
      </c>
      <c r="D70" s="74"/>
      <c r="E70" s="31"/>
      <c r="F70" s="259"/>
      <c r="G70" s="47">
        <v>5980</v>
      </c>
      <c r="H70" s="10"/>
      <c r="I70" s="78"/>
      <c r="J70" s="42"/>
    </row>
    <row r="71" spans="2:12" ht="13.5" customHeight="1" thickBot="1" x14ac:dyDescent="0.3">
      <c r="B71" s="41"/>
      <c r="C71" s="102" t="s">
        <v>165</v>
      </c>
      <c r="D71" s="74"/>
      <c r="E71" s="31"/>
      <c r="F71" s="113" t="s">
        <v>3</v>
      </c>
      <c r="G71" s="276"/>
      <c r="H71" s="10"/>
      <c r="I71" s="78"/>
      <c r="J71" s="42"/>
    </row>
    <row r="72" spans="2:12" ht="18" customHeight="1" x14ac:dyDescent="0.25">
      <c r="B72" s="41"/>
      <c r="C72" s="68"/>
      <c r="D72" s="31"/>
      <c r="E72" s="31"/>
      <c r="F72" s="126"/>
      <c r="G72" s="47"/>
      <c r="H72" s="10"/>
      <c r="I72" s="78"/>
      <c r="J72" s="42"/>
    </row>
    <row r="73" spans="2:12" ht="13.5" customHeight="1" thickBot="1" x14ac:dyDescent="0.3">
      <c r="B73" s="41"/>
      <c r="C73" s="81"/>
      <c r="D73" s="68"/>
      <c r="E73" s="31"/>
      <c r="F73" s="113"/>
      <c r="G73" s="47"/>
      <c r="H73" s="10"/>
      <c r="I73" s="78"/>
      <c r="J73" s="42"/>
      <c r="L73" s="100" t="s">
        <v>3</v>
      </c>
    </row>
    <row r="74" spans="2:12" ht="13.5" customHeight="1" thickBot="1" x14ac:dyDescent="0.3">
      <c r="B74" s="41"/>
      <c r="C74" s="71" t="s">
        <v>168</v>
      </c>
      <c r="D74" s="68"/>
      <c r="E74" s="31"/>
      <c r="F74" s="112"/>
      <c r="G74" s="40"/>
      <c r="H74" s="17"/>
      <c r="I74" s="23">
        <f>SUM(G70:G71)</f>
        <v>5980</v>
      </c>
      <c r="J74" s="42"/>
    </row>
    <row r="75" spans="2:12" ht="13.5" customHeight="1" x14ac:dyDescent="0.25">
      <c r="B75" s="41"/>
      <c r="C75" s="81"/>
      <c r="D75" s="68"/>
      <c r="E75" s="31"/>
      <c r="F75" s="112"/>
      <c r="G75" s="40"/>
      <c r="H75" s="17"/>
      <c r="I75" s="104"/>
      <c r="J75" s="42"/>
    </row>
    <row r="76" spans="2:12" ht="13.5" customHeight="1" x14ac:dyDescent="0.25">
      <c r="B76" s="41"/>
      <c r="C76" s="7"/>
      <c r="D76" s="8"/>
      <c r="E76" s="7"/>
      <c r="F76" s="114"/>
      <c r="G76" s="19"/>
      <c r="H76" s="17"/>
      <c r="I76" s="19"/>
      <c r="J76" s="42"/>
      <c r="K76" s="20"/>
      <c r="L76" s="21"/>
    </row>
    <row r="77" spans="2:12" ht="14.1" customHeight="1" x14ac:dyDescent="0.25">
      <c r="B77" s="41"/>
      <c r="C77" s="22" t="s">
        <v>35</v>
      </c>
      <c r="D77" s="8"/>
      <c r="E77" s="13"/>
      <c r="F77" s="114"/>
      <c r="G77" s="49"/>
      <c r="H77" s="9" t="s">
        <v>17</v>
      </c>
      <c r="I77" s="23">
        <f>+I67+I74</f>
        <v>17728207.449999999</v>
      </c>
      <c r="J77" s="42"/>
      <c r="K77" s="20" t="s">
        <v>3</v>
      </c>
      <c r="L77" s="38" t="s">
        <v>3</v>
      </c>
    </row>
    <row r="78" spans="2:12" ht="13.5" customHeight="1" x14ac:dyDescent="0.25">
      <c r="B78" s="41"/>
      <c r="C78" s="48"/>
      <c r="D78" s="48"/>
      <c r="E78" s="48"/>
      <c r="F78" s="114"/>
      <c r="G78" s="17"/>
      <c r="H78" s="48"/>
      <c r="I78" s="48"/>
      <c r="J78" s="42"/>
    </row>
    <row r="79" spans="2:12" x14ac:dyDescent="0.25">
      <c r="B79" s="41"/>
      <c r="C79" s="24" t="s">
        <v>19</v>
      </c>
      <c r="D79" s="48"/>
      <c r="E79" s="50"/>
      <c r="F79" s="114"/>
      <c r="G79" s="49"/>
      <c r="H79" s="9" t="s">
        <v>17</v>
      </c>
      <c r="I79" s="25">
        <f>+I77+I8</f>
        <v>55792822.640000001</v>
      </c>
      <c r="J79" s="42"/>
      <c r="K79" s="21"/>
    </row>
    <row r="80" spans="2:12" ht="16.5" thickBot="1" x14ac:dyDescent="0.3">
      <c r="B80" s="62"/>
      <c r="C80" s="63"/>
      <c r="D80" s="63"/>
      <c r="E80" s="64"/>
      <c r="F80" s="115"/>
      <c r="G80" s="65"/>
      <c r="H80" s="66"/>
      <c r="I80" s="63"/>
      <c r="J80" s="46"/>
      <c r="K80" s="21"/>
    </row>
    <row r="81" spans="2:11" x14ac:dyDescent="0.25">
      <c r="B81" s="41"/>
      <c r="C81" s="61" t="s">
        <v>20</v>
      </c>
      <c r="D81" s="48"/>
      <c r="E81" s="50"/>
      <c r="F81" s="114"/>
      <c r="G81" s="49"/>
      <c r="H81" s="9"/>
      <c r="I81" s="48"/>
      <c r="J81" s="42"/>
      <c r="K81" s="21"/>
    </row>
    <row r="82" spans="2:11" x14ac:dyDescent="0.25">
      <c r="B82" s="41"/>
      <c r="C82" s="320" t="s">
        <v>192</v>
      </c>
      <c r="D82" s="320" t="s">
        <v>193</v>
      </c>
      <c r="G82" s="321">
        <v>649298.34</v>
      </c>
      <c r="H82" s="9"/>
      <c r="I82" s="48"/>
      <c r="J82" s="42"/>
      <c r="K82" s="21"/>
    </row>
    <row r="83" spans="2:11" x14ac:dyDescent="0.25">
      <c r="B83" s="41"/>
      <c r="C83" s="320" t="s">
        <v>197</v>
      </c>
      <c r="D83" s="320" t="s">
        <v>198</v>
      </c>
      <c r="G83" s="321">
        <v>28250</v>
      </c>
      <c r="H83" s="9"/>
      <c r="I83" s="48"/>
      <c r="J83" s="42"/>
      <c r="K83" s="21"/>
    </row>
    <row r="84" spans="2:11" x14ac:dyDescent="0.25">
      <c r="B84" s="41"/>
      <c r="C84" s="320" t="s">
        <v>201</v>
      </c>
      <c r="D84" s="320" t="s">
        <v>202</v>
      </c>
      <c r="G84" s="321">
        <v>138700</v>
      </c>
      <c r="H84" s="9"/>
      <c r="I84" s="48"/>
      <c r="J84" s="42"/>
      <c r="K84" s="21"/>
    </row>
    <row r="85" spans="2:11" x14ac:dyDescent="0.25">
      <c r="B85" s="41"/>
      <c r="C85" s="320" t="s">
        <v>205</v>
      </c>
      <c r="D85" s="320" t="s">
        <v>206</v>
      </c>
      <c r="G85" s="321">
        <v>1337259</v>
      </c>
      <c r="H85" s="9"/>
      <c r="I85" s="48"/>
      <c r="J85" s="42"/>
      <c r="K85" s="21"/>
    </row>
    <row r="86" spans="2:11" x14ac:dyDescent="0.25">
      <c r="B86" s="41"/>
      <c r="C86" s="320" t="s">
        <v>208</v>
      </c>
      <c r="D86" s="320" t="s">
        <v>209</v>
      </c>
      <c r="G86" s="321">
        <v>24789.47</v>
      </c>
      <c r="H86" s="9"/>
      <c r="I86" s="48"/>
      <c r="J86" s="42"/>
      <c r="K86" s="21"/>
    </row>
    <row r="87" spans="2:11" x14ac:dyDescent="0.25">
      <c r="B87" s="41"/>
      <c r="C87" s="320" t="s">
        <v>297</v>
      </c>
      <c r="D87" s="320" t="s">
        <v>298</v>
      </c>
      <c r="G87" s="321">
        <v>120000</v>
      </c>
      <c r="H87" s="9"/>
      <c r="I87" s="48"/>
      <c r="J87" s="42"/>
      <c r="K87" s="21"/>
    </row>
    <row r="88" spans="2:11" x14ac:dyDescent="0.25">
      <c r="B88" s="41"/>
      <c r="C88" s="320" t="s">
        <v>205</v>
      </c>
      <c r="D88" s="320" t="s">
        <v>300</v>
      </c>
      <c r="G88" s="321">
        <v>850000</v>
      </c>
      <c r="H88" s="9"/>
      <c r="I88" s="48"/>
      <c r="J88" s="42"/>
      <c r="K88" s="21"/>
    </row>
    <row r="89" spans="2:11" x14ac:dyDescent="0.25">
      <c r="B89" s="41"/>
      <c r="C89" s="320" t="s">
        <v>302</v>
      </c>
      <c r="D89" s="320" t="s">
        <v>303</v>
      </c>
      <c r="G89" s="321">
        <v>120000</v>
      </c>
      <c r="H89" s="9"/>
      <c r="I89" s="48"/>
      <c r="J89" s="42"/>
      <c r="K89" s="21"/>
    </row>
    <row r="90" spans="2:11" x14ac:dyDescent="0.25">
      <c r="B90" s="41"/>
      <c r="C90" s="320" t="s">
        <v>208</v>
      </c>
      <c r="D90" s="320" t="s">
        <v>305</v>
      </c>
      <c r="G90" s="321">
        <v>58905.67</v>
      </c>
      <c r="H90" s="9"/>
      <c r="I90" s="48"/>
      <c r="J90" s="42"/>
      <c r="K90" s="21"/>
    </row>
    <row r="91" spans="2:11" x14ac:dyDescent="0.25">
      <c r="B91" s="41"/>
      <c r="C91" s="320" t="s">
        <v>208</v>
      </c>
      <c r="D91" s="320" t="s">
        <v>307</v>
      </c>
      <c r="G91" s="321">
        <v>29619.01</v>
      </c>
      <c r="H91" s="9"/>
      <c r="I91" s="48"/>
      <c r="J91" s="42"/>
      <c r="K91" s="21"/>
    </row>
    <row r="92" spans="2:11" x14ac:dyDescent="0.25">
      <c r="B92" s="41"/>
      <c r="C92" s="320" t="s">
        <v>302</v>
      </c>
      <c r="D92" s="320" t="s">
        <v>309</v>
      </c>
      <c r="G92" s="321">
        <v>45000</v>
      </c>
      <c r="H92" s="9"/>
      <c r="I92" s="48"/>
      <c r="J92" s="42"/>
      <c r="K92" s="21"/>
    </row>
    <row r="93" spans="2:11" x14ac:dyDescent="0.25">
      <c r="B93" s="41"/>
      <c r="C93" s="320" t="s">
        <v>208</v>
      </c>
      <c r="D93" s="320" t="s">
        <v>311</v>
      </c>
      <c r="G93" s="321">
        <v>39717.01</v>
      </c>
      <c r="H93" s="9"/>
      <c r="I93" s="48"/>
      <c r="J93" s="42"/>
      <c r="K93" s="21"/>
    </row>
    <row r="94" spans="2:11" x14ac:dyDescent="0.25">
      <c r="B94" s="41"/>
      <c r="C94" s="320" t="s">
        <v>212</v>
      </c>
      <c r="D94" s="320" t="s">
        <v>213</v>
      </c>
      <c r="G94" s="321">
        <v>8190</v>
      </c>
      <c r="H94" s="9"/>
      <c r="I94" s="48"/>
      <c r="J94" s="42"/>
      <c r="K94" s="21"/>
    </row>
    <row r="95" spans="2:11" x14ac:dyDescent="0.25">
      <c r="B95" s="41"/>
      <c r="C95" s="320" t="s">
        <v>215</v>
      </c>
      <c r="D95" s="320" t="s">
        <v>216</v>
      </c>
      <c r="G95" s="321">
        <v>23090</v>
      </c>
      <c r="H95" s="9"/>
      <c r="I95" s="48"/>
      <c r="J95" s="42"/>
      <c r="K95" s="21"/>
    </row>
    <row r="96" spans="2:11" x14ac:dyDescent="0.25">
      <c r="B96" s="41"/>
      <c r="C96" s="320" t="s">
        <v>215</v>
      </c>
      <c r="D96" s="320" t="s">
        <v>216</v>
      </c>
      <c r="G96" s="321">
        <v>23090</v>
      </c>
      <c r="H96" s="9"/>
      <c r="I96" s="48"/>
      <c r="J96" s="42"/>
      <c r="K96" s="21"/>
    </row>
    <row r="97" spans="2:11" x14ac:dyDescent="0.25">
      <c r="B97" s="41"/>
      <c r="C97" s="320" t="s">
        <v>215</v>
      </c>
      <c r="D97" s="320" t="s">
        <v>219</v>
      </c>
      <c r="G97" s="321">
        <v>20168</v>
      </c>
      <c r="H97" s="9"/>
      <c r="I97" s="48"/>
      <c r="J97" s="42"/>
      <c r="K97" s="21"/>
    </row>
    <row r="98" spans="2:11" x14ac:dyDescent="0.25">
      <c r="B98" s="41"/>
      <c r="C98" s="320" t="s">
        <v>215</v>
      </c>
      <c r="D98" s="320" t="s">
        <v>219</v>
      </c>
      <c r="G98" s="321">
        <v>11265</v>
      </c>
      <c r="H98" s="9"/>
      <c r="I98" s="48"/>
      <c r="J98" s="42"/>
      <c r="K98" s="21"/>
    </row>
    <row r="99" spans="2:11" x14ac:dyDescent="0.25">
      <c r="B99" s="41"/>
      <c r="C99" s="320" t="s">
        <v>244</v>
      </c>
      <c r="D99" s="320" t="s">
        <v>245</v>
      </c>
      <c r="G99" s="321">
        <v>67410</v>
      </c>
      <c r="H99" s="9"/>
      <c r="I99" s="48"/>
      <c r="J99" s="42"/>
      <c r="K99" s="21"/>
    </row>
    <row r="100" spans="2:11" x14ac:dyDescent="0.25">
      <c r="B100" s="41"/>
      <c r="C100" s="320" t="s">
        <v>244</v>
      </c>
      <c r="D100" s="320" t="s">
        <v>247</v>
      </c>
      <c r="G100" s="321">
        <v>108750</v>
      </c>
      <c r="H100" s="9"/>
      <c r="I100" s="48"/>
      <c r="J100" s="42"/>
      <c r="K100" s="21"/>
    </row>
    <row r="101" spans="2:11" x14ac:dyDescent="0.25">
      <c r="B101" s="41"/>
      <c r="C101" s="320" t="s">
        <v>244</v>
      </c>
      <c r="D101" s="320" t="s">
        <v>247</v>
      </c>
      <c r="G101" s="321">
        <v>867105</v>
      </c>
      <c r="H101" s="9"/>
      <c r="I101" s="48"/>
      <c r="J101" s="42"/>
      <c r="K101" s="21"/>
    </row>
    <row r="102" spans="2:11" x14ac:dyDescent="0.25">
      <c r="B102" s="41"/>
      <c r="C102" s="320" t="s">
        <v>294</v>
      </c>
      <c r="D102" s="320" t="s">
        <v>295</v>
      </c>
      <c r="G102" s="321">
        <v>2769736</v>
      </c>
      <c r="H102" s="9"/>
      <c r="I102" s="48"/>
      <c r="J102" s="42"/>
      <c r="K102" s="21"/>
    </row>
    <row r="103" spans="2:11" x14ac:dyDescent="0.25">
      <c r="B103" s="41"/>
      <c r="C103" s="320" t="s">
        <v>320</v>
      </c>
      <c r="D103" s="320" t="s">
        <v>321</v>
      </c>
      <c r="G103" s="321">
        <v>3000</v>
      </c>
      <c r="H103" s="9"/>
      <c r="I103" s="48"/>
      <c r="J103" s="42"/>
      <c r="K103" s="21"/>
    </row>
    <row r="104" spans="2:11" x14ac:dyDescent="0.25">
      <c r="B104" s="41"/>
      <c r="C104" s="320" t="s">
        <v>212</v>
      </c>
      <c r="D104" s="320" t="s">
        <v>393</v>
      </c>
      <c r="G104" s="321">
        <v>734400</v>
      </c>
      <c r="H104" s="9"/>
      <c r="I104" s="48"/>
      <c r="J104" s="42"/>
      <c r="K104" s="21"/>
    </row>
    <row r="105" spans="2:11" x14ac:dyDescent="0.25">
      <c r="B105" s="41"/>
      <c r="C105" s="320" t="s">
        <v>352</v>
      </c>
      <c r="D105" s="320" t="s">
        <v>391</v>
      </c>
      <c r="G105" s="321">
        <v>109800</v>
      </c>
      <c r="H105" s="9"/>
      <c r="I105" s="48"/>
      <c r="J105" s="42"/>
      <c r="K105" s="21"/>
    </row>
    <row r="106" spans="2:11" x14ac:dyDescent="0.25">
      <c r="B106" s="41"/>
      <c r="C106" s="320" t="s">
        <v>205</v>
      </c>
      <c r="D106" s="320" t="s">
        <v>378</v>
      </c>
      <c r="G106" s="321">
        <v>1261750</v>
      </c>
      <c r="H106" s="9"/>
      <c r="I106" s="48"/>
      <c r="J106" s="42"/>
      <c r="K106" s="21"/>
    </row>
    <row r="107" spans="2:11" x14ac:dyDescent="0.25">
      <c r="B107" s="41"/>
      <c r="C107" s="320" t="s">
        <v>205</v>
      </c>
      <c r="D107" s="320" t="s">
        <v>376</v>
      </c>
      <c r="G107" s="321">
        <v>1261750</v>
      </c>
      <c r="H107" s="9"/>
      <c r="I107" s="48"/>
      <c r="J107" s="42"/>
      <c r="K107" s="21"/>
    </row>
    <row r="108" spans="2:11" x14ac:dyDescent="0.25">
      <c r="B108" s="41"/>
      <c r="C108" s="320" t="s">
        <v>205</v>
      </c>
      <c r="D108" s="320" t="s">
        <v>374</v>
      </c>
      <c r="G108" s="321">
        <v>487259</v>
      </c>
      <c r="H108" s="9"/>
      <c r="I108" s="48"/>
      <c r="J108" s="42"/>
      <c r="K108" s="21"/>
    </row>
    <row r="109" spans="2:11" x14ac:dyDescent="0.25">
      <c r="B109" s="41"/>
      <c r="C109" s="320" t="s">
        <v>205</v>
      </c>
      <c r="D109" s="320" t="s">
        <v>372</v>
      </c>
      <c r="G109" s="321">
        <v>1261750</v>
      </c>
      <c r="H109" s="9"/>
      <c r="I109" s="48"/>
      <c r="J109" s="42"/>
      <c r="K109" s="21"/>
    </row>
    <row r="110" spans="2:11" x14ac:dyDescent="0.25">
      <c r="B110" s="41"/>
      <c r="C110" s="320" t="s">
        <v>205</v>
      </c>
      <c r="D110" s="320" t="s">
        <v>370</v>
      </c>
      <c r="G110" s="321">
        <v>1261750</v>
      </c>
      <c r="H110" s="9"/>
      <c r="I110" s="48"/>
      <c r="J110" s="42"/>
      <c r="K110" s="21"/>
    </row>
    <row r="111" spans="2:11" x14ac:dyDescent="0.25">
      <c r="B111" s="41"/>
      <c r="C111" s="320" t="s">
        <v>212</v>
      </c>
      <c r="D111" s="320" t="s">
        <v>368</v>
      </c>
      <c r="G111" s="321">
        <v>739200</v>
      </c>
      <c r="H111" s="9"/>
      <c r="I111" s="48"/>
      <c r="J111" s="42"/>
      <c r="K111" s="21"/>
    </row>
    <row r="112" spans="2:11" x14ac:dyDescent="0.25">
      <c r="B112" s="41"/>
      <c r="C112" s="320" t="s">
        <v>366</v>
      </c>
      <c r="D112" s="320" t="s">
        <v>365</v>
      </c>
      <c r="G112" s="321">
        <v>516180</v>
      </c>
      <c r="H112" s="9"/>
      <c r="I112" s="48"/>
      <c r="J112" s="42"/>
      <c r="K112" s="21"/>
    </row>
    <row r="113" spans="2:11" x14ac:dyDescent="0.25">
      <c r="B113" s="41"/>
      <c r="C113" s="320" t="s">
        <v>212</v>
      </c>
      <c r="D113" s="320" t="s">
        <v>363</v>
      </c>
      <c r="G113" s="321">
        <v>723600</v>
      </c>
      <c r="H113" s="9"/>
      <c r="I113" s="48"/>
      <c r="J113" s="42"/>
      <c r="K113" s="21"/>
    </row>
    <row r="114" spans="2:11" x14ac:dyDescent="0.25">
      <c r="B114" s="41"/>
      <c r="C114" s="320" t="s">
        <v>352</v>
      </c>
      <c r="D114" s="320" t="s">
        <v>361</v>
      </c>
      <c r="G114" s="321">
        <v>91800</v>
      </c>
      <c r="H114" s="9"/>
      <c r="I114" s="48"/>
      <c r="J114" s="42"/>
      <c r="K114" s="21"/>
    </row>
    <row r="115" spans="2:11" x14ac:dyDescent="0.25">
      <c r="B115" s="41"/>
      <c r="C115" s="320" t="s">
        <v>352</v>
      </c>
      <c r="D115" s="320" t="s">
        <v>359</v>
      </c>
      <c r="G115" s="321">
        <v>91500</v>
      </c>
      <c r="H115" s="9"/>
      <c r="I115" s="48"/>
      <c r="J115" s="42"/>
      <c r="K115" s="21"/>
    </row>
    <row r="116" spans="2:11" x14ac:dyDescent="0.25">
      <c r="B116" s="41"/>
      <c r="C116" s="320" t="s">
        <v>355</v>
      </c>
      <c r="D116" s="320" t="s">
        <v>357</v>
      </c>
      <c r="G116" s="321">
        <v>97920</v>
      </c>
      <c r="H116" s="9"/>
      <c r="I116" s="48"/>
      <c r="J116" s="42"/>
      <c r="K116" s="21"/>
    </row>
    <row r="117" spans="2:11" x14ac:dyDescent="0.25">
      <c r="B117" s="41"/>
      <c r="C117" s="320" t="s">
        <v>355</v>
      </c>
      <c r="D117" s="320" t="s">
        <v>354</v>
      </c>
      <c r="G117" s="321">
        <v>97600</v>
      </c>
      <c r="H117" s="9"/>
      <c r="I117" s="48"/>
      <c r="J117" s="42"/>
      <c r="K117" s="21"/>
    </row>
    <row r="118" spans="2:11" x14ac:dyDescent="0.25">
      <c r="B118" s="41"/>
      <c r="C118" s="320" t="s">
        <v>192</v>
      </c>
      <c r="D118" s="320" t="s">
        <v>349</v>
      </c>
      <c r="G118" s="321">
        <v>668517.56999999995</v>
      </c>
      <c r="H118" s="9"/>
      <c r="I118" s="48"/>
      <c r="J118" s="42"/>
      <c r="K118" s="21"/>
    </row>
    <row r="119" spans="2:11" x14ac:dyDescent="0.25">
      <c r="B119" s="41"/>
      <c r="C119" s="320" t="s">
        <v>192</v>
      </c>
      <c r="D119" s="320" t="s">
        <v>347</v>
      </c>
      <c r="G119" s="321">
        <v>668517.56999999995</v>
      </c>
      <c r="H119" s="9"/>
      <c r="I119" s="48"/>
      <c r="J119" s="42"/>
      <c r="K119" s="21"/>
    </row>
    <row r="120" spans="2:11" x14ac:dyDescent="0.25">
      <c r="B120" s="41"/>
      <c r="C120" s="320" t="s">
        <v>192</v>
      </c>
      <c r="D120" s="320" t="s">
        <v>345</v>
      </c>
      <c r="G120" s="321">
        <v>668517.56999999995</v>
      </c>
      <c r="H120" s="9"/>
      <c r="I120" s="48"/>
      <c r="J120" s="42"/>
      <c r="K120" s="21"/>
    </row>
    <row r="121" spans="2:11" x14ac:dyDescent="0.25">
      <c r="B121" s="41"/>
      <c r="C121" s="320" t="s">
        <v>192</v>
      </c>
      <c r="D121" s="320" t="s">
        <v>343</v>
      </c>
      <c r="G121" s="321">
        <v>195000</v>
      </c>
      <c r="H121" s="9"/>
      <c r="I121" s="48"/>
      <c r="J121" s="42"/>
      <c r="K121" s="21"/>
    </row>
    <row r="122" spans="2:11" x14ac:dyDescent="0.25">
      <c r="B122" s="41"/>
      <c r="C122" s="320" t="s">
        <v>192</v>
      </c>
      <c r="D122" s="320" t="s">
        <v>341</v>
      </c>
      <c r="G122" s="321">
        <v>48750</v>
      </c>
      <c r="H122" s="9"/>
      <c r="I122" s="48"/>
      <c r="J122" s="42"/>
      <c r="K122" s="21"/>
    </row>
    <row r="123" spans="2:11" x14ac:dyDescent="0.25">
      <c r="B123" s="41"/>
      <c r="C123" s="320" t="s">
        <v>192</v>
      </c>
      <c r="D123" s="320" t="s">
        <v>339</v>
      </c>
      <c r="G123" s="321">
        <v>668517.56999999995</v>
      </c>
      <c r="H123" s="9"/>
      <c r="I123" s="48"/>
      <c r="J123" s="42"/>
      <c r="K123" s="21"/>
    </row>
    <row r="124" spans="2:11" x14ac:dyDescent="0.25">
      <c r="B124" s="41"/>
      <c r="C124" s="320" t="s">
        <v>352</v>
      </c>
      <c r="D124" s="320" t="s">
        <v>351</v>
      </c>
      <c r="G124" s="321">
        <v>3767400</v>
      </c>
      <c r="H124" s="9"/>
      <c r="I124" s="48"/>
      <c r="J124" s="42"/>
      <c r="K124" s="21"/>
    </row>
    <row r="125" spans="2:11" x14ac:dyDescent="0.25">
      <c r="B125" s="41"/>
      <c r="C125" s="320" t="s">
        <v>215</v>
      </c>
      <c r="D125" s="320" t="s">
        <v>389</v>
      </c>
      <c r="G125" s="321">
        <v>19910.79</v>
      </c>
      <c r="H125" s="9"/>
      <c r="I125" s="48"/>
      <c r="J125" s="42"/>
      <c r="K125" s="21"/>
    </row>
    <row r="126" spans="2:11" ht="16.5" thickBot="1" x14ac:dyDescent="0.3">
      <c r="B126" s="41"/>
      <c r="C126" s="320"/>
      <c r="D126" s="320" t="s">
        <v>403</v>
      </c>
      <c r="G126" s="322">
        <v>615346.81999999995</v>
      </c>
      <c r="H126" s="9"/>
      <c r="I126" s="48"/>
      <c r="J126" s="42"/>
      <c r="K126" s="21"/>
    </row>
    <row r="127" spans="2:11" x14ac:dyDescent="0.25">
      <c r="B127" s="41"/>
      <c r="C127" s="253"/>
      <c r="D127" s="253"/>
      <c r="E127" s="77"/>
      <c r="G127" s="78"/>
      <c r="H127" s="9"/>
      <c r="I127" s="48"/>
      <c r="J127" s="42"/>
      <c r="K127" s="21"/>
    </row>
    <row r="128" spans="2:11" ht="16.5" thickBot="1" x14ac:dyDescent="0.3">
      <c r="B128" s="41"/>
      <c r="C128" s="101"/>
      <c r="D128" s="101"/>
      <c r="E128" s="31"/>
      <c r="F128" s="124"/>
      <c r="G128" s="49"/>
      <c r="H128" s="9"/>
      <c r="I128" s="48"/>
      <c r="J128" s="42"/>
      <c r="K128" s="21"/>
    </row>
    <row r="129" spans="2:14" ht="17.25" customHeight="1" thickBot="1" x14ac:dyDescent="0.3">
      <c r="B129" s="41"/>
      <c r="C129" s="71" t="s">
        <v>24</v>
      </c>
      <c r="D129" s="31"/>
      <c r="E129" s="31"/>
      <c r="F129" s="110"/>
      <c r="G129" s="49"/>
      <c r="H129" s="9" t="s">
        <v>17</v>
      </c>
      <c r="I129" s="26">
        <f>SUM(G82:G126)</f>
        <v>23400079.390000001</v>
      </c>
      <c r="J129" s="42"/>
      <c r="K129" s="37" t="s">
        <v>3</v>
      </c>
    </row>
    <row r="130" spans="2:14" ht="14.25" customHeight="1" thickBot="1" x14ac:dyDescent="0.3">
      <c r="B130" s="41"/>
      <c r="C130" s="31"/>
      <c r="D130" s="31"/>
      <c r="E130" s="31"/>
      <c r="F130" s="110"/>
      <c r="G130" s="51"/>
      <c r="H130" s="10"/>
      <c r="I130" s="19"/>
      <c r="J130" s="42"/>
      <c r="K130" s="37"/>
      <c r="L130" s="37"/>
      <c r="M130" s="37" t="s">
        <v>3</v>
      </c>
      <c r="N130" s="5" t="s">
        <v>3</v>
      </c>
    </row>
    <row r="131" spans="2:14" ht="20.25" customHeight="1" thickBot="1" x14ac:dyDescent="0.3">
      <c r="B131" s="41"/>
      <c r="C131" s="69" t="s">
        <v>404</v>
      </c>
      <c r="D131" s="31"/>
      <c r="E131" s="31"/>
      <c r="F131" s="110"/>
      <c r="G131" s="49"/>
      <c r="H131" s="9" t="s">
        <v>17</v>
      </c>
      <c r="I131" s="27">
        <f>+I79-I129</f>
        <v>32392743.25</v>
      </c>
      <c r="J131" s="42"/>
      <c r="K131" s="37"/>
      <c r="L131" s="37">
        <v>32392743.25</v>
      </c>
      <c r="M131" s="37"/>
    </row>
    <row r="132" spans="2:14" ht="13.5" customHeight="1" x14ac:dyDescent="0.25">
      <c r="B132" s="41"/>
      <c r="C132" s="32"/>
      <c r="D132" s="31"/>
      <c r="E132" s="31"/>
      <c r="F132" s="110"/>
      <c r="G132" s="49"/>
      <c r="H132" s="9"/>
      <c r="I132" s="31"/>
      <c r="J132" s="42"/>
      <c r="K132" s="37"/>
      <c r="L132" s="72" t="s">
        <v>3</v>
      </c>
    </row>
    <row r="133" spans="2:14" ht="16.5" thickBot="1" x14ac:dyDescent="0.3">
      <c r="B133" s="41"/>
      <c r="C133" s="29"/>
      <c r="D133" s="10"/>
      <c r="E133" s="10"/>
      <c r="F133" s="110"/>
      <c r="G133" s="32"/>
      <c r="H133" s="10"/>
      <c r="I133" s="10"/>
      <c r="J133" s="42"/>
      <c r="K133" s="37" t="s">
        <v>3</v>
      </c>
      <c r="L133" s="37" t="s">
        <v>3</v>
      </c>
    </row>
    <row r="134" spans="2:14" ht="16.5" thickBot="1" x14ac:dyDescent="0.3">
      <c r="B134" s="41"/>
      <c r="C134" s="69" t="s">
        <v>21</v>
      </c>
      <c r="D134" s="10"/>
      <c r="E134" s="31"/>
      <c r="F134" s="110"/>
      <c r="G134" s="30" t="s">
        <v>3</v>
      </c>
      <c r="H134" s="32"/>
      <c r="I134" s="27">
        <f>SUM(F135:F137)</f>
        <v>10882792.23</v>
      </c>
      <c r="J134" s="42"/>
    </row>
    <row r="135" spans="2:14" ht="15.75" customHeight="1" x14ac:dyDescent="0.25">
      <c r="B135" s="41"/>
      <c r="C135" s="106" t="s">
        <v>21</v>
      </c>
      <c r="D135" s="107"/>
      <c r="E135" s="107" t="s">
        <v>3</v>
      </c>
      <c r="F135" s="103">
        <f>+'2. COBROS'!F64</f>
        <v>12775784.98</v>
      </c>
      <c r="G135" s="31"/>
      <c r="H135" s="32"/>
      <c r="I135" s="32"/>
      <c r="J135" s="42"/>
    </row>
    <row r="136" spans="2:14" ht="12" customHeight="1" x14ac:dyDescent="0.25">
      <c r="B136" s="41"/>
      <c r="C136" s="106" t="s">
        <v>25</v>
      </c>
      <c r="D136" s="107"/>
      <c r="E136" s="107" t="s">
        <v>3</v>
      </c>
      <c r="F136" s="103">
        <f>+'2. COBROS'!F76+'2. COBROS'!F90</f>
        <v>-1012492.89</v>
      </c>
      <c r="G136" s="30" t="s">
        <v>3</v>
      </c>
      <c r="H136" s="10"/>
      <c r="I136" s="18"/>
      <c r="J136" s="42"/>
      <c r="L136" s="28" t="s">
        <v>3</v>
      </c>
    </row>
    <row r="137" spans="2:14" ht="15.95" customHeight="1" thickBot="1" x14ac:dyDescent="0.3">
      <c r="B137" s="41"/>
      <c r="C137" s="106" t="s">
        <v>38</v>
      </c>
      <c r="D137" s="107"/>
      <c r="E137" s="105"/>
      <c r="F137" s="108">
        <f>+'2. COBROS'!F93</f>
        <v>-880499.86</v>
      </c>
      <c r="G137" s="30"/>
      <c r="H137" s="9" t="s">
        <v>3</v>
      </c>
      <c r="I137" s="16" t="s">
        <v>3</v>
      </c>
      <c r="J137" s="42"/>
      <c r="L137" s="28" t="s">
        <v>3</v>
      </c>
    </row>
    <row r="138" spans="2:14" ht="15.95" customHeight="1" thickBot="1" x14ac:dyDescent="0.3">
      <c r="B138" s="41"/>
      <c r="C138" s="7"/>
      <c r="D138" s="10"/>
      <c r="E138" s="7"/>
      <c r="F138" s="67"/>
      <c r="G138" s="30"/>
      <c r="H138" s="9"/>
      <c r="I138" s="16"/>
      <c r="J138" s="42"/>
      <c r="L138" s="28"/>
    </row>
    <row r="139" spans="2:14" ht="15.95" customHeight="1" thickBot="1" x14ac:dyDescent="0.3">
      <c r="B139" s="41"/>
      <c r="C139" s="69" t="s">
        <v>26</v>
      </c>
      <c r="D139" s="10"/>
      <c r="E139" s="7"/>
      <c r="F139" s="67"/>
      <c r="G139" s="30"/>
      <c r="H139" s="9"/>
      <c r="I139" s="27">
        <f>+'Balance General '!G27</f>
        <v>23586966.960000001</v>
      </c>
      <c r="J139" s="42"/>
      <c r="L139" s="28"/>
    </row>
    <row r="140" spans="2:14" ht="15.95" customHeight="1" x14ac:dyDescent="0.25">
      <c r="B140" s="41"/>
      <c r="C140" s="254"/>
      <c r="D140" s="10"/>
      <c r="E140" s="7"/>
      <c r="F140" s="67"/>
      <c r="G140" s="30"/>
      <c r="H140" s="9"/>
      <c r="I140" s="16"/>
      <c r="J140" s="42"/>
      <c r="L140" s="28"/>
    </row>
    <row r="141" spans="2:14" ht="15.95" customHeight="1" x14ac:dyDescent="0.25">
      <c r="B141" s="41"/>
      <c r="C141" s="135" t="s">
        <v>3</v>
      </c>
      <c r="D141" s="31"/>
      <c r="E141" s="7"/>
      <c r="F141" s="5"/>
      <c r="G141" s="30"/>
      <c r="H141" s="9"/>
      <c r="I141" s="16"/>
      <c r="J141" s="42"/>
      <c r="L141" s="28"/>
    </row>
    <row r="142" spans="2:14" ht="15.95" hidden="1" customHeight="1" x14ac:dyDescent="0.25">
      <c r="B142" s="41"/>
      <c r="C142" s="130" t="s">
        <v>39</v>
      </c>
      <c r="D142" s="31"/>
      <c r="E142" s="7"/>
      <c r="F142" s="73">
        <v>-1</v>
      </c>
      <c r="G142" s="30"/>
      <c r="H142" s="9"/>
      <c r="I142" s="16"/>
      <c r="J142" s="42"/>
      <c r="L142" s="28"/>
    </row>
    <row r="143" spans="2:14" ht="15.95" hidden="1" customHeight="1" x14ac:dyDescent="0.25">
      <c r="B143" s="41"/>
      <c r="C143" s="94"/>
      <c r="D143" s="127"/>
      <c r="E143" s="105"/>
      <c r="F143" s="82"/>
      <c r="G143" s="30"/>
      <c r="H143" s="9"/>
      <c r="I143" s="16"/>
      <c r="J143" s="42"/>
      <c r="L143" s="28"/>
    </row>
    <row r="144" spans="2:14" ht="15.95" hidden="1" customHeight="1" thickBot="1" x14ac:dyDescent="0.3">
      <c r="B144" s="41"/>
      <c r="C144" s="94"/>
      <c r="D144" s="127"/>
      <c r="E144" s="105"/>
      <c r="F144" s="116"/>
      <c r="G144" s="30"/>
      <c r="H144" s="9"/>
      <c r="I144" s="16"/>
      <c r="J144" s="42"/>
      <c r="L144" s="28"/>
    </row>
    <row r="145" spans="2:12" ht="15.95" customHeight="1" x14ac:dyDescent="0.25">
      <c r="B145" s="41"/>
      <c r="C145" s="94"/>
      <c r="D145" s="31"/>
      <c r="E145" s="7"/>
      <c r="F145" s="82"/>
      <c r="G145" s="30"/>
      <c r="H145" s="9"/>
      <c r="I145" s="16" t="s">
        <v>3</v>
      </c>
      <c r="J145" s="42"/>
      <c r="L145" s="28"/>
    </row>
    <row r="146" spans="2:12" ht="15" customHeight="1" thickBot="1" x14ac:dyDescent="0.35">
      <c r="B146" s="52"/>
      <c r="C146" s="94"/>
      <c r="D146" s="86"/>
      <c r="E146" s="33"/>
      <c r="F146" s="82" t="s">
        <v>3</v>
      </c>
      <c r="G146" s="35"/>
      <c r="H146" s="36"/>
      <c r="I146" s="36"/>
      <c r="J146" s="53"/>
    </row>
    <row r="147" spans="2:12" ht="15" customHeight="1" x14ac:dyDescent="0.25">
      <c r="B147" s="52"/>
      <c r="C147" s="94"/>
      <c r="D147" s="86"/>
      <c r="E147" s="34" t="s">
        <v>22</v>
      </c>
      <c r="F147" s="117"/>
      <c r="G147" s="35"/>
      <c r="H147" s="36"/>
      <c r="I147" s="36"/>
      <c r="J147" s="53"/>
    </row>
    <row r="148" spans="2:12" ht="9.9499999999999993" customHeight="1" thickBot="1" x14ac:dyDescent="0.3">
      <c r="B148" s="54"/>
      <c r="C148" s="55"/>
      <c r="D148" s="56"/>
      <c r="E148" s="57" t="s">
        <v>23</v>
      </c>
      <c r="F148" s="118"/>
      <c r="G148" s="58"/>
      <c r="H148" s="59"/>
      <c r="I148" s="59"/>
      <c r="J148" s="60"/>
    </row>
    <row r="149" spans="2:12" x14ac:dyDescent="0.25">
      <c r="G149" s="20"/>
      <c r="H149" s="20"/>
      <c r="I149" s="20"/>
    </row>
    <row r="150" spans="2:12" x14ac:dyDescent="0.25">
      <c r="G150" s="20"/>
      <c r="H150" s="20"/>
      <c r="I150" s="20"/>
    </row>
    <row r="151" spans="2:12" x14ac:dyDescent="0.25">
      <c r="G151" s="20"/>
      <c r="H151" s="20"/>
      <c r="I151" s="20"/>
    </row>
    <row r="152" spans="2:12" x14ac:dyDescent="0.25">
      <c r="G152" s="20"/>
      <c r="H152" s="20"/>
      <c r="I152" s="20"/>
    </row>
    <row r="153" spans="2:12" x14ac:dyDescent="0.25">
      <c r="G153" s="20"/>
      <c r="H153" s="20"/>
      <c r="I153" s="20"/>
    </row>
    <row r="154" spans="2:12" x14ac:dyDescent="0.25">
      <c r="G154" s="20"/>
      <c r="H154" s="20"/>
      <c r="I154" s="20"/>
    </row>
    <row r="155" spans="2:12" x14ac:dyDescent="0.25">
      <c r="G155" s="20"/>
      <c r="H155" s="20"/>
      <c r="I155" s="20"/>
    </row>
    <row r="156" spans="2:12" x14ac:dyDescent="0.25">
      <c r="G156" s="20"/>
      <c r="H156" s="20"/>
      <c r="I156" s="20"/>
    </row>
    <row r="157" spans="2:12" x14ac:dyDescent="0.25">
      <c r="G157" s="20"/>
      <c r="H157" s="20"/>
      <c r="I157" s="20"/>
    </row>
    <row r="158" spans="2:12" x14ac:dyDescent="0.25">
      <c r="G158" s="20"/>
      <c r="H158" s="20"/>
      <c r="I158" s="20"/>
    </row>
    <row r="159" spans="2:12" x14ac:dyDescent="0.25">
      <c r="G159" s="20"/>
      <c r="H159" s="20"/>
      <c r="I159" s="20"/>
    </row>
    <row r="160" spans="2:12" x14ac:dyDescent="0.25">
      <c r="G160" s="20"/>
      <c r="H160" s="20"/>
      <c r="I160" s="20"/>
    </row>
    <row r="161" spans="7:9" x14ac:dyDescent="0.25">
      <c r="G161" s="20"/>
      <c r="H161" s="20"/>
      <c r="I161" s="20"/>
    </row>
    <row r="187" spans="5:5" x14ac:dyDescent="0.25">
      <c r="E187" s="37">
        <v>732648.88</v>
      </c>
    </row>
    <row r="188" spans="5:5" x14ac:dyDescent="0.25">
      <c r="E188" s="37">
        <v>78829.740000000005</v>
      </c>
    </row>
    <row r="190" spans="5:5" x14ac:dyDescent="0.25">
      <c r="E190" s="37">
        <f>+E187-E188</f>
        <v>653819.14</v>
      </c>
    </row>
  </sheetData>
  <mergeCells count="1">
    <mergeCell ref="B2:J2"/>
  </mergeCells>
  <pageMargins left="0.93" right="0.11811023622047245" top="0.59055118110236227" bottom="0.62" header="0.35433070866141736" footer="0.43307086614173229"/>
  <pageSetup scale="55" fitToHeight="4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"/>
  <sheetViews>
    <sheetView workbookViewId="0"/>
  </sheetViews>
  <sheetFormatPr baseColWidth="10" defaultRowHeight="12.75" x14ac:dyDescent="0.2"/>
  <sheetData/>
  <phoneticPr fontId="4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16</vt:i4>
      </vt:variant>
    </vt:vector>
  </HeadingPairs>
  <TitlesOfParts>
    <vt:vector size="28" baseType="lpstr">
      <vt:lpstr>Balance General </vt:lpstr>
      <vt:lpstr>Estado Resultados </vt:lpstr>
      <vt:lpstr>1.RESUMEN DE SALDOS</vt:lpstr>
      <vt:lpstr>2. COBROS</vt:lpstr>
      <vt:lpstr>3. FACTURADO VS RECAUDADO</vt:lpstr>
      <vt:lpstr>Presupuesto Vs Gasto</vt:lpstr>
      <vt:lpstr>5.DETALLE GASTOS</vt:lpstr>
      <vt:lpstr>InformeCondomino</vt:lpstr>
      <vt:lpstr>Hoja2</vt:lpstr>
      <vt:lpstr>Hoja3</vt:lpstr>
      <vt:lpstr>ConcBAC¢</vt:lpstr>
      <vt:lpstr>ConcBAC$</vt:lpstr>
      <vt:lpstr>'2. COBROS'!Área_de_impresión</vt:lpstr>
      <vt:lpstr>'5.DETALLE GASTOS'!Área_de_impresión</vt:lpstr>
      <vt:lpstr>'Balance General '!Área_de_impresión</vt:lpstr>
      <vt:lpstr>'ConcBAC$'!Área_de_impresión</vt:lpstr>
      <vt:lpstr>'ConcBAC¢'!Área_de_impresión</vt:lpstr>
      <vt:lpstr>'Estado Resultados '!Área_de_impresión</vt:lpstr>
      <vt:lpstr>InformeCondomino!Área_de_impresión</vt:lpstr>
      <vt:lpstr>'Presupuesto Vs Gasto'!Área_de_impresión</vt:lpstr>
      <vt:lpstr>'2. COBROS'!Títulos_a_imprimir</vt:lpstr>
      <vt:lpstr>'5.DETALLE GASTOS'!Títulos_a_imprimir</vt:lpstr>
      <vt:lpstr>'Balance General '!Títulos_a_imprimir</vt:lpstr>
      <vt:lpstr>'ConcBAC$'!Títulos_a_imprimir</vt:lpstr>
      <vt:lpstr>'ConcBAC¢'!Títulos_a_imprimir</vt:lpstr>
      <vt:lpstr>'Estado Resultados '!Títulos_a_imprimir</vt:lpstr>
      <vt:lpstr>InformeCondomino!Títulos_a_imprimir</vt:lpstr>
      <vt:lpstr>'Presupuesto Vs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recepcion1</dc:creator>
  <cp:lastModifiedBy>ACAD ASESORIAS </cp:lastModifiedBy>
  <cp:lastPrinted>2019-06-18T04:06:12Z</cp:lastPrinted>
  <dcterms:created xsi:type="dcterms:W3CDTF">2011-03-24T14:56:16Z</dcterms:created>
  <dcterms:modified xsi:type="dcterms:W3CDTF">2019-06-18T04:06:53Z</dcterms:modified>
</cp:coreProperties>
</file>